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1910"/>
  </bookViews>
  <sheets>
    <sheet name="01.07.18" sheetId="2" r:id="rId1"/>
  </sheets>
  <definedNames>
    <definedName name="_xlnm.Print_Area" localSheetId="0">'01.07.18'!$A$1:$AC$101</definedName>
  </definedNames>
  <calcPr calcId="125725"/>
</workbook>
</file>

<file path=xl/calcChain.xml><?xml version="1.0" encoding="utf-8"?>
<calcChain xmlns="http://schemas.openxmlformats.org/spreadsheetml/2006/main">
  <c r="V100" i="2"/>
  <c r="V99"/>
  <c r="V94"/>
  <c r="V92"/>
  <c r="V90" s="1"/>
  <c r="V89"/>
  <c r="V87"/>
  <c r="V86" s="1"/>
  <c r="V84"/>
  <c r="V83" s="1"/>
  <c r="V80"/>
  <c r="V78"/>
  <c r="V76"/>
  <c r="V74"/>
  <c r="V72"/>
  <c r="V70"/>
  <c r="V67"/>
  <c r="V64"/>
  <c r="V62"/>
  <c r="V59"/>
  <c r="V57"/>
  <c r="V55"/>
  <c r="V54"/>
  <c r="V51"/>
  <c r="V49"/>
  <c r="V47"/>
  <c r="V46"/>
  <c r="V45" s="1"/>
  <c r="V44"/>
  <c r="V43"/>
  <c r="V42"/>
  <c r="V41"/>
  <c r="V39"/>
  <c r="V38" s="1"/>
  <c r="V36"/>
  <c r="V98" s="1"/>
  <c r="V32"/>
  <c r="V30"/>
  <c r="V28"/>
  <c r="V26"/>
  <c r="V24"/>
  <c r="R94"/>
  <c r="R92"/>
  <c r="R90" s="1"/>
  <c r="R89"/>
  <c r="R87"/>
  <c r="R86" s="1"/>
  <c r="R84"/>
  <c r="R83" s="1"/>
  <c r="R80"/>
  <c r="R78"/>
  <c r="R76"/>
  <c r="R74"/>
  <c r="R72"/>
  <c r="R70"/>
  <c r="R67"/>
  <c r="R64"/>
  <c r="R62"/>
  <c r="R59"/>
  <c r="R57"/>
  <c r="R55"/>
  <c r="R54"/>
  <c r="R51"/>
  <c r="R49"/>
  <c r="R48"/>
  <c r="R100" s="1"/>
  <c r="R47"/>
  <c r="R99" s="1"/>
  <c r="R46"/>
  <c r="R45" s="1"/>
  <c r="R44"/>
  <c r="R43"/>
  <c r="R98" s="1"/>
  <c r="R41"/>
  <c r="R39"/>
  <c r="R38"/>
  <c r="R37"/>
  <c r="R36"/>
  <c r="R35" s="1"/>
  <c r="R32"/>
  <c r="R30"/>
  <c r="R28" s="1"/>
  <c r="R26"/>
  <c r="R24"/>
  <c r="V35" l="1"/>
  <c r="V96" s="1"/>
  <c r="V97" s="1"/>
  <c r="R42"/>
  <c r="R96" s="1"/>
  <c r="R97" s="1"/>
  <c r="AB69" l="1"/>
  <c r="AC69"/>
  <c r="S67"/>
  <c r="T67"/>
  <c r="U67"/>
  <c r="X67"/>
  <c r="Y67"/>
  <c r="Q67"/>
  <c r="AB25" l="1"/>
  <c r="AC25"/>
  <c r="AC26"/>
  <c r="AB27"/>
  <c r="AC27"/>
  <c r="AC28"/>
  <c r="AB29"/>
  <c r="AC29"/>
  <c r="AB30"/>
  <c r="AC30"/>
  <c r="AB31"/>
  <c r="AC31"/>
  <c r="AC32"/>
  <c r="AB33"/>
  <c r="AC33"/>
  <c r="AB34"/>
  <c r="AC34"/>
  <c r="AC35"/>
  <c r="AB36"/>
  <c r="AC36"/>
  <c r="AB37"/>
  <c r="AC37"/>
  <c r="AC38"/>
  <c r="AB39"/>
  <c r="AC39"/>
  <c r="AB40"/>
  <c r="AC40"/>
  <c r="AB41"/>
  <c r="AC41"/>
  <c r="AC42"/>
  <c r="AB43"/>
  <c r="AC43"/>
  <c r="AB44"/>
  <c r="AC44"/>
  <c r="AC45"/>
  <c r="AB46"/>
  <c r="AC46"/>
  <c r="AB47"/>
  <c r="AC47"/>
  <c r="AB48"/>
  <c r="AC48"/>
  <c r="AC49"/>
  <c r="AB50"/>
  <c r="AC50"/>
  <c r="AC51"/>
  <c r="AB52"/>
  <c r="AC52"/>
  <c r="AB53"/>
  <c r="AC53"/>
  <c r="AB54"/>
  <c r="AC54"/>
  <c r="AB55"/>
  <c r="AC55"/>
  <c r="AB56"/>
  <c r="AC56"/>
  <c r="AB57"/>
  <c r="AC57"/>
  <c r="AB58"/>
  <c r="AC58"/>
  <c r="AC59"/>
  <c r="AB60"/>
  <c r="AC60"/>
  <c r="AB61"/>
  <c r="AC61"/>
  <c r="AC62"/>
  <c r="AB63"/>
  <c r="AC63"/>
  <c r="AC64"/>
  <c r="AB65"/>
  <c r="AC65"/>
  <c r="AB66"/>
  <c r="AC66"/>
  <c r="AB68"/>
  <c r="AC68"/>
  <c r="AC70"/>
  <c r="AB71"/>
  <c r="AC71"/>
  <c r="AC72"/>
  <c r="AB73"/>
  <c r="AC73"/>
  <c r="AC74"/>
  <c r="AB75"/>
  <c r="AC75"/>
  <c r="AC76"/>
  <c r="AB77"/>
  <c r="AC77"/>
  <c r="AC78"/>
  <c r="AB79"/>
  <c r="AC79"/>
  <c r="AB80"/>
  <c r="AC80"/>
  <c r="AB81"/>
  <c r="AC81"/>
  <c r="AB82"/>
  <c r="AC82"/>
  <c r="AC83"/>
  <c r="AB84"/>
  <c r="AC84"/>
  <c r="AB85"/>
  <c r="AC85"/>
  <c r="AC86"/>
  <c r="AB87"/>
  <c r="AC87"/>
  <c r="AB88"/>
  <c r="AC88"/>
  <c r="AB89"/>
  <c r="AC89"/>
  <c r="AC90"/>
  <c r="AB91"/>
  <c r="AC91"/>
  <c r="AB92"/>
  <c r="AC92"/>
  <c r="AB93"/>
  <c r="AC93"/>
  <c r="AC94"/>
  <c r="AB95"/>
  <c r="AC95"/>
  <c r="AC96"/>
  <c r="AC99"/>
  <c r="AC100"/>
  <c r="AC24"/>
  <c r="AB24"/>
  <c r="Q94"/>
  <c r="AB94" s="1"/>
  <c r="Q90"/>
  <c r="AB90" s="1"/>
  <c r="Q86"/>
  <c r="AB86" s="1"/>
  <c r="Q83"/>
  <c r="AB83" s="1"/>
  <c r="Q80"/>
  <c r="Q78"/>
  <c r="AB78" s="1"/>
  <c r="Q76"/>
  <c r="AB76" s="1"/>
  <c r="Q74"/>
  <c r="AB74" s="1"/>
  <c r="Q72"/>
  <c r="AB72" s="1"/>
  <c r="Q70"/>
  <c r="AB70" s="1"/>
  <c r="AB67"/>
  <c r="Q64"/>
  <c r="AB64" s="1"/>
  <c r="Q62"/>
  <c r="AB62" s="1"/>
  <c r="Q59"/>
  <c r="AB59" s="1"/>
  <c r="Q51"/>
  <c r="AB51" s="1"/>
  <c r="Q49"/>
  <c r="AB49" s="1"/>
  <c r="Q100"/>
  <c r="AB100" s="1"/>
  <c r="Q45"/>
  <c r="AB45" s="1"/>
  <c r="Q99"/>
  <c r="AB99" s="1"/>
  <c r="Q42"/>
  <c r="AB42" s="1"/>
  <c r="Q98"/>
  <c r="AB98" s="1"/>
  <c r="Q35"/>
  <c r="AB35" s="1"/>
  <c r="Q32"/>
  <c r="AB32" s="1"/>
  <c r="Q28"/>
  <c r="AB28" s="1"/>
  <c r="Q26"/>
  <c r="AB26" s="1"/>
  <c r="Q24"/>
  <c r="Q38" l="1"/>
  <c r="AA31"/>
  <c r="U44"/>
  <c r="K90"/>
  <c r="G90"/>
  <c r="K80"/>
  <c r="K83"/>
  <c r="J90"/>
  <c r="H90"/>
  <c r="I90"/>
  <c r="P93"/>
  <c r="H100"/>
  <c r="I100"/>
  <c r="J100"/>
  <c r="K100"/>
  <c r="G100"/>
  <c r="N100"/>
  <c r="M100"/>
  <c r="N99"/>
  <c r="M99"/>
  <c r="I99"/>
  <c r="H99"/>
  <c r="N98"/>
  <c r="M98"/>
  <c r="I98"/>
  <c r="H98"/>
  <c r="P95"/>
  <c r="O95"/>
  <c r="O94" s="1"/>
  <c r="L95"/>
  <c r="L94" s="1"/>
  <c r="N94"/>
  <c r="M94"/>
  <c r="K94"/>
  <c r="J94"/>
  <c r="I94"/>
  <c r="H94"/>
  <c r="G94"/>
  <c r="L92"/>
  <c r="O92"/>
  <c r="P91"/>
  <c r="O91"/>
  <c r="L91"/>
  <c r="N90"/>
  <c r="M90"/>
  <c r="P89"/>
  <c r="O89"/>
  <c r="L89"/>
  <c r="P88"/>
  <c r="O88"/>
  <c r="L88"/>
  <c r="P87"/>
  <c r="L87"/>
  <c r="N86"/>
  <c r="M86"/>
  <c r="J86"/>
  <c r="I86"/>
  <c r="H86"/>
  <c r="P85"/>
  <c r="O85"/>
  <c r="L85"/>
  <c r="P84"/>
  <c r="N83"/>
  <c r="M83"/>
  <c r="I83"/>
  <c r="H83"/>
  <c r="G83"/>
  <c r="P82"/>
  <c r="O82"/>
  <c r="L82"/>
  <c r="L81"/>
  <c r="P81"/>
  <c r="N80"/>
  <c r="M80"/>
  <c r="J80"/>
  <c r="I80"/>
  <c r="H80"/>
  <c r="P79"/>
  <c r="O79"/>
  <c r="O78" s="1"/>
  <c r="L79"/>
  <c r="L78" s="1"/>
  <c r="N78"/>
  <c r="M78"/>
  <c r="K78"/>
  <c r="J78"/>
  <c r="I78"/>
  <c r="H78"/>
  <c r="G78"/>
  <c r="P77"/>
  <c r="O77"/>
  <c r="O76" s="1"/>
  <c r="L77"/>
  <c r="N76"/>
  <c r="M76"/>
  <c r="L76"/>
  <c r="K76"/>
  <c r="J76"/>
  <c r="I76"/>
  <c r="H76"/>
  <c r="G76"/>
  <c r="P75"/>
  <c r="O75"/>
  <c r="O74" s="1"/>
  <c r="L75"/>
  <c r="L74" s="1"/>
  <c r="N74"/>
  <c r="M74"/>
  <c r="K74"/>
  <c r="J74"/>
  <c r="I74"/>
  <c r="H74"/>
  <c r="G74"/>
  <c r="P73"/>
  <c r="O73"/>
  <c r="O72" s="1"/>
  <c r="L73"/>
  <c r="L72" s="1"/>
  <c r="N72"/>
  <c r="M72"/>
  <c r="K72"/>
  <c r="J72"/>
  <c r="I72"/>
  <c r="H72"/>
  <c r="G72"/>
  <c r="P71"/>
  <c r="O71"/>
  <c r="O70" s="1"/>
  <c r="L71"/>
  <c r="L70" s="1"/>
  <c r="N70"/>
  <c r="M70"/>
  <c r="K70"/>
  <c r="J70"/>
  <c r="I70"/>
  <c r="H70"/>
  <c r="G70"/>
  <c r="P68"/>
  <c r="O68"/>
  <c r="O67" s="1"/>
  <c r="L68"/>
  <c r="L67" s="1"/>
  <c r="N67"/>
  <c r="M67"/>
  <c r="K67"/>
  <c r="J67"/>
  <c r="I67"/>
  <c r="H67"/>
  <c r="G67"/>
  <c r="P66"/>
  <c r="O66"/>
  <c r="L66"/>
  <c r="P65"/>
  <c r="O65"/>
  <c r="L65"/>
  <c r="N64"/>
  <c r="M64"/>
  <c r="K64"/>
  <c r="J64"/>
  <c r="I64"/>
  <c r="H64"/>
  <c r="G64"/>
  <c r="P63"/>
  <c r="O63"/>
  <c r="O62" s="1"/>
  <c r="L63"/>
  <c r="L62" s="1"/>
  <c r="N62"/>
  <c r="M62"/>
  <c r="K62"/>
  <c r="J62"/>
  <c r="I62"/>
  <c r="H62"/>
  <c r="G62"/>
  <c r="P61"/>
  <c r="O61"/>
  <c r="L61"/>
  <c r="P60"/>
  <c r="O60"/>
  <c r="L60"/>
  <c r="N59"/>
  <c r="M59"/>
  <c r="K59"/>
  <c r="J59"/>
  <c r="I59"/>
  <c r="H59"/>
  <c r="G59"/>
  <c r="O58"/>
  <c r="L58"/>
  <c r="O56"/>
  <c r="L56"/>
  <c r="P55"/>
  <c r="N54"/>
  <c r="M54"/>
  <c r="J54"/>
  <c r="I54"/>
  <c r="H54"/>
  <c r="P53"/>
  <c r="O53"/>
  <c r="L53"/>
  <c r="P52"/>
  <c r="O52"/>
  <c r="L52"/>
  <c r="N51"/>
  <c r="M51"/>
  <c r="K51"/>
  <c r="J51"/>
  <c r="I51"/>
  <c r="H51"/>
  <c r="G51"/>
  <c r="P50"/>
  <c r="O50"/>
  <c r="O49" s="1"/>
  <c r="L50"/>
  <c r="L49" s="1"/>
  <c r="N49"/>
  <c r="M49"/>
  <c r="K49"/>
  <c r="J49"/>
  <c r="I49"/>
  <c r="H49"/>
  <c r="G49"/>
  <c r="J45"/>
  <c r="O47"/>
  <c r="P46"/>
  <c r="O46"/>
  <c r="L46"/>
  <c r="N45"/>
  <c r="M45"/>
  <c r="I45"/>
  <c r="H45"/>
  <c r="O44"/>
  <c r="L43"/>
  <c r="P43"/>
  <c r="O43"/>
  <c r="N42"/>
  <c r="M42"/>
  <c r="J42"/>
  <c r="I42"/>
  <c r="H42"/>
  <c r="P41"/>
  <c r="O41"/>
  <c r="P40"/>
  <c r="O40"/>
  <c r="L40"/>
  <c r="N38"/>
  <c r="M38"/>
  <c r="I38"/>
  <c r="H38"/>
  <c r="G38"/>
  <c r="J35"/>
  <c r="O37"/>
  <c r="P36"/>
  <c r="G98"/>
  <c r="N35"/>
  <c r="M35"/>
  <c r="K35"/>
  <c r="I35"/>
  <c r="H35"/>
  <c r="P34"/>
  <c r="O34"/>
  <c r="L34"/>
  <c r="P33"/>
  <c r="O33"/>
  <c r="O32" s="1"/>
  <c r="L33"/>
  <c r="L32" s="1"/>
  <c r="N32"/>
  <c r="M32"/>
  <c r="K32"/>
  <c r="J32"/>
  <c r="I32"/>
  <c r="H32"/>
  <c r="G32"/>
  <c r="P31"/>
  <c r="O31"/>
  <c r="L31"/>
  <c r="J99"/>
  <c r="P29"/>
  <c r="O29"/>
  <c r="L29"/>
  <c r="N28"/>
  <c r="M28"/>
  <c r="I28"/>
  <c r="H28"/>
  <c r="G28"/>
  <c r="P27"/>
  <c r="O27"/>
  <c r="O26" s="1"/>
  <c r="L27"/>
  <c r="L26" s="1"/>
  <c r="N26"/>
  <c r="M26"/>
  <c r="K26"/>
  <c r="J26"/>
  <c r="I26"/>
  <c r="H26"/>
  <c r="H96" s="1"/>
  <c r="G26"/>
  <c r="P25"/>
  <c r="O25"/>
  <c r="O24" s="1"/>
  <c r="L25"/>
  <c r="N24"/>
  <c r="M24"/>
  <c r="K24"/>
  <c r="J24"/>
  <c r="I24"/>
  <c r="H24"/>
  <c r="G24"/>
  <c r="W92"/>
  <c r="W48"/>
  <c r="W43"/>
  <c r="W37"/>
  <c r="W87"/>
  <c r="S83"/>
  <c r="T83"/>
  <c r="U83"/>
  <c r="W47"/>
  <c r="W30"/>
  <c r="Z57"/>
  <c r="AA84"/>
  <c r="Z81"/>
  <c r="Z55"/>
  <c r="X98"/>
  <c r="Y98"/>
  <c r="X99"/>
  <c r="Y99"/>
  <c r="X100"/>
  <c r="Y100"/>
  <c r="X94"/>
  <c r="Y94"/>
  <c r="X90"/>
  <c r="Y90"/>
  <c r="X86"/>
  <c r="Y86"/>
  <c r="X83"/>
  <c r="Y83"/>
  <c r="X80"/>
  <c r="Y80"/>
  <c r="X78"/>
  <c r="Y78"/>
  <c r="X76"/>
  <c r="Y76"/>
  <c r="X74"/>
  <c r="Y74"/>
  <c r="X72"/>
  <c r="Y72"/>
  <c r="X70"/>
  <c r="Y70"/>
  <c r="X64"/>
  <c r="Y64"/>
  <c r="X62"/>
  <c r="Y62"/>
  <c r="X59"/>
  <c r="Y59"/>
  <c r="X54"/>
  <c r="Y54"/>
  <c r="X51"/>
  <c r="Y51"/>
  <c r="X49"/>
  <c r="Y49"/>
  <c r="X45"/>
  <c r="Y45"/>
  <c r="X42"/>
  <c r="Y42"/>
  <c r="X38"/>
  <c r="Y38"/>
  <c r="X35"/>
  <c r="Y35"/>
  <c r="X32"/>
  <c r="Y32"/>
  <c r="Z95"/>
  <c r="Z94" s="1"/>
  <c r="W95"/>
  <c r="W94" s="1"/>
  <c r="Z91"/>
  <c r="W91"/>
  <c r="Z89"/>
  <c r="W89"/>
  <c r="Z88"/>
  <c r="W88"/>
  <c r="Z87"/>
  <c r="Z85"/>
  <c r="W85"/>
  <c r="Z84"/>
  <c r="W84"/>
  <c r="Z82"/>
  <c r="W82"/>
  <c r="W81"/>
  <c r="Z79"/>
  <c r="Z78" s="1"/>
  <c r="W79"/>
  <c r="W78" s="1"/>
  <c r="Z77"/>
  <c r="Z76" s="1"/>
  <c r="W77"/>
  <c r="W76" s="1"/>
  <c r="Z75"/>
  <c r="Z74" s="1"/>
  <c r="W75"/>
  <c r="W74" s="1"/>
  <c r="Z73"/>
  <c r="Z72" s="1"/>
  <c r="W73"/>
  <c r="W72" s="1"/>
  <c r="Z71"/>
  <c r="Z70" s="1"/>
  <c r="W71"/>
  <c r="W70" s="1"/>
  <c r="Z68"/>
  <c r="Z67" s="1"/>
  <c r="W68"/>
  <c r="W67" s="1"/>
  <c r="Z66"/>
  <c r="W66"/>
  <c r="Z65"/>
  <c r="W65"/>
  <c r="Z63"/>
  <c r="Z62" s="1"/>
  <c r="W63"/>
  <c r="W62" s="1"/>
  <c r="Z61"/>
  <c r="W61"/>
  <c r="Z60"/>
  <c r="W60"/>
  <c r="Z58"/>
  <c r="W58"/>
  <c r="W57"/>
  <c r="Z56"/>
  <c r="W56"/>
  <c r="W55"/>
  <c r="Z53"/>
  <c r="W53"/>
  <c r="Z52"/>
  <c r="W52"/>
  <c r="Z50"/>
  <c r="Z49" s="1"/>
  <c r="W50"/>
  <c r="W49" s="1"/>
  <c r="Z47"/>
  <c r="Z46"/>
  <c r="W46"/>
  <c r="Z44"/>
  <c r="W44"/>
  <c r="W41"/>
  <c r="Z40"/>
  <c r="W40"/>
  <c r="Z39"/>
  <c r="W39"/>
  <c r="Z34"/>
  <c r="W34"/>
  <c r="Z33"/>
  <c r="W33"/>
  <c r="Z31"/>
  <c r="W31"/>
  <c r="Z29"/>
  <c r="W29"/>
  <c r="Z27"/>
  <c r="Z26" s="1"/>
  <c r="W27"/>
  <c r="W26" s="1"/>
  <c r="W25"/>
  <c r="Z25"/>
  <c r="Z24" s="1"/>
  <c r="X28"/>
  <c r="Y28"/>
  <c r="X26"/>
  <c r="Y26"/>
  <c r="X24"/>
  <c r="Y24"/>
  <c r="Y96" s="1"/>
  <c r="Y97" s="1"/>
  <c r="S99"/>
  <c r="T99"/>
  <c r="S100"/>
  <c r="T100"/>
  <c r="U100"/>
  <c r="Z41"/>
  <c r="X96" l="1"/>
  <c r="X97" s="1"/>
  <c r="L59"/>
  <c r="L64"/>
  <c r="P70"/>
  <c r="Q96"/>
  <c r="AB96" s="1"/>
  <c r="AB38"/>
  <c r="Z80"/>
  <c r="I96"/>
  <c r="I97" s="1"/>
  <c r="Z32"/>
  <c r="P76"/>
  <c r="P72"/>
  <c r="O64"/>
  <c r="O59"/>
  <c r="L51"/>
  <c r="O51"/>
  <c r="L86"/>
  <c r="P94"/>
  <c r="L90"/>
  <c r="L80"/>
  <c r="P78"/>
  <c r="P74"/>
  <c r="P67"/>
  <c r="P59"/>
  <c r="P51"/>
  <c r="O42"/>
  <c r="P32"/>
  <c r="Z30"/>
  <c r="Z28" s="1"/>
  <c r="Z37"/>
  <c r="H97"/>
  <c r="M96"/>
  <c r="M97" s="1"/>
  <c r="G99"/>
  <c r="G35"/>
  <c r="P35"/>
  <c r="L37"/>
  <c r="K38"/>
  <c r="P39"/>
  <c r="L47"/>
  <c r="L48"/>
  <c r="L100" s="1"/>
  <c r="P57"/>
  <c r="P62"/>
  <c r="L84"/>
  <c r="L83" s="1"/>
  <c r="O90"/>
  <c r="Z43"/>
  <c r="Z48"/>
  <c r="Z45" s="1"/>
  <c r="W80"/>
  <c r="P37"/>
  <c r="O39"/>
  <c r="O38" s="1"/>
  <c r="L41"/>
  <c r="P44"/>
  <c r="P48"/>
  <c r="O55"/>
  <c r="O57"/>
  <c r="O84"/>
  <c r="O83" s="1"/>
  <c r="O87"/>
  <c r="O86" s="1"/>
  <c r="P100"/>
  <c r="W86"/>
  <c r="N96"/>
  <c r="N97" s="1"/>
  <c r="P30"/>
  <c r="P49"/>
  <c r="L55"/>
  <c r="P64"/>
  <c r="O81"/>
  <c r="O80" s="1"/>
  <c r="P92"/>
  <c r="L24"/>
  <c r="P24"/>
  <c r="J28"/>
  <c r="J96" s="1"/>
  <c r="O30"/>
  <c r="O36"/>
  <c r="O35" s="1"/>
  <c r="L39"/>
  <c r="L44"/>
  <c r="L42" s="1"/>
  <c r="G45"/>
  <c r="K45"/>
  <c r="P47"/>
  <c r="L57"/>
  <c r="J83"/>
  <c r="K98"/>
  <c r="J38"/>
  <c r="P26"/>
  <c r="L30"/>
  <c r="L36"/>
  <c r="G42"/>
  <c r="K42"/>
  <c r="G54"/>
  <c r="K54"/>
  <c r="G80"/>
  <c r="G86"/>
  <c r="K86"/>
  <c r="J98"/>
  <c r="K99"/>
  <c r="O48"/>
  <c r="O100" s="1"/>
  <c r="K28"/>
  <c r="Z86"/>
  <c r="Z64"/>
  <c r="W64"/>
  <c r="Z59"/>
  <c r="Z51"/>
  <c r="W51"/>
  <c r="Z38"/>
  <c r="W38"/>
  <c r="W36"/>
  <c r="W35" s="1"/>
  <c r="Z36"/>
  <c r="Z42"/>
  <c r="Z92"/>
  <c r="Z90" s="1"/>
  <c r="W90"/>
  <c r="Z83"/>
  <c r="W83"/>
  <c r="W59"/>
  <c r="W54"/>
  <c r="Z54"/>
  <c r="W45"/>
  <c r="W42"/>
  <c r="W32"/>
  <c r="W28"/>
  <c r="U99"/>
  <c r="S98"/>
  <c r="T98"/>
  <c r="U98"/>
  <c r="AA25"/>
  <c r="AA27"/>
  <c r="AA29"/>
  <c r="AA30"/>
  <c r="AA33"/>
  <c r="AA34"/>
  <c r="AA36"/>
  <c r="AA37"/>
  <c r="AA39"/>
  <c r="AA40"/>
  <c r="AA41"/>
  <c r="AA43"/>
  <c r="AA44"/>
  <c r="AA46"/>
  <c r="AA47"/>
  <c r="AA48"/>
  <c r="AA50"/>
  <c r="AA52"/>
  <c r="AA53"/>
  <c r="AA55"/>
  <c r="AA56"/>
  <c r="AA57"/>
  <c r="AA58"/>
  <c r="AA60"/>
  <c r="AA61"/>
  <c r="AA63"/>
  <c r="AA65"/>
  <c r="AA66"/>
  <c r="AA68"/>
  <c r="AA67" s="1"/>
  <c r="AA71"/>
  <c r="AA73"/>
  <c r="AA75"/>
  <c r="AA77"/>
  <c r="AA79"/>
  <c r="AA81"/>
  <c r="AA82"/>
  <c r="AA85"/>
  <c r="AA87"/>
  <c r="AA88"/>
  <c r="AA89"/>
  <c r="AA91"/>
  <c r="AA92"/>
  <c r="AA95"/>
  <c r="S94"/>
  <c r="T94"/>
  <c r="U94"/>
  <c r="S90"/>
  <c r="T90"/>
  <c r="U90"/>
  <c r="S86"/>
  <c r="T86"/>
  <c r="U86"/>
  <c r="S80"/>
  <c r="T80"/>
  <c r="U80"/>
  <c r="S78"/>
  <c r="T78"/>
  <c r="U78"/>
  <c r="S76"/>
  <c r="T76"/>
  <c r="U76"/>
  <c r="S74"/>
  <c r="T74"/>
  <c r="U74"/>
  <c r="S72"/>
  <c r="T72"/>
  <c r="U72"/>
  <c r="S70"/>
  <c r="T70"/>
  <c r="U70"/>
  <c r="S64"/>
  <c r="T64"/>
  <c r="U64"/>
  <c r="S62"/>
  <c r="T62"/>
  <c r="U62"/>
  <c r="S59"/>
  <c r="T59"/>
  <c r="U59"/>
  <c r="S54"/>
  <c r="T54"/>
  <c r="U54"/>
  <c r="S51"/>
  <c r="T51"/>
  <c r="U51"/>
  <c r="S49"/>
  <c r="T49"/>
  <c r="U49"/>
  <c r="S45"/>
  <c r="T45"/>
  <c r="U45"/>
  <c r="S42"/>
  <c r="T42"/>
  <c r="U42"/>
  <c r="S38"/>
  <c r="T38"/>
  <c r="U38"/>
  <c r="S35"/>
  <c r="T35"/>
  <c r="U35"/>
  <c r="S32"/>
  <c r="T32"/>
  <c r="U32"/>
  <c r="S28"/>
  <c r="T28"/>
  <c r="U28"/>
  <c r="S26"/>
  <c r="T26"/>
  <c r="U26"/>
  <c r="S24"/>
  <c r="T24"/>
  <c r="U24"/>
  <c r="W24"/>
  <c r="K96" l="1"/>
  <c r="G96"/>
  <c r="O54"/>
  <c r="AC67"/>
  <c r="Z100"/>
  <c r="Z98"/>
  <c r="Q97"/>
  <c r="AB97" s="1"/>
  <c r="L35"/>
  <c r="Z99"/>
  <c r="L54"/>
  <c r="L45"/>
  <c r="Z35"/>
  <c r="Z96" s="1"/>
  <c r="Z97" s="1"/>
  <c r="L38"/>
  <c r="AA24"/>
  <c r="G97"/>
  <c r="J97"/>
  <c r="P28"/>
  <c r="P83"/>
  <c r="P99"/>
  <c r="P80"/>
  <c r="P42"/>
  <c r="P90"/>
  <c r="L28"/>
  <c r="L99"/>
  <c r="P98"/>
  <c r="P86"/>
  <c r="P54"/>
  <c r="P45"/>
  <c r="O99"/>
  <c r="O28"/>
  <c r="P38"/>
  <c r="O45"/>
  <c r="O98"/>
  <c r="L98"/>
  <c r="T96"/>
  <c r="T97" s="1"/>
  <c r="S96"/>
  <c r="W100"/>
  <c r="W99"/>
  <c r="AA80"/>
  <c r="AA76"/>
  <c r="AA32"/>
  <c r="U96"/>
  <c r="AA83"/>
  <c r="AA78"/>
  <c r="AA72"/>
  <c r="AA70"/>
  <c r="AA62"/>
  <c r="AA59"/>
  <c r="AA45"/>
  <c r="AA42"/>
  <c r="AA26"/>
  <c r="AA94"/>
  <c r="AA90"/>
  <c r="AA86"/>
  <c r="AA100"/>
  <c r="AA74"/>
  <c r="AA64"/>
  <c r="AA54"/>
  <c r="AA51"/>
  <c r="AA49"/>
  <c r="AA38"/>
  <c r="AA35"/>
  <c r="AA99"/>
  <c r="W98"/>
  <c r="AA28"/>
  <c r="AA98"/>
  <c r="AC98" l="1"/>
  <c r="AC97"/>
  <c r="L96"/>
  <c r="L97" s="1"/>
  <c r="K97"/>
  <c r="P96"/>
  <c r="O96"/>
  <c r="O97" s="1"/>
  <c r="S97"/>
  <c r="W96"/>
  <c r="W97" s="1"/>
  <c r="U97"/>
  <c r="AA96"/>
  <c r="P97" l="1"/>
  <c r="AA97"/>
</calcChain>
</file>

<file path=xl/sharedStrings.xml><?xml version="1.0" encoding="utf-8"?>
<sst xmlns="http://schemas.openxmlformats.org/spreadsheetml/2006/main" count="149" uniqueCount="61">
  <si>
    <t/>
  </si>
  <si>
    <t>ОТДЕЛЬНЫЕ ВИДЫ РАСХОДОВ ( в т.ч. муниципальные программы );010000</t>
  </si>
  <si>
    <t>Непрограммные расходы</t>
  </si>
  <si>
    <t>СУБВЕНЦИИ (бюджет автономного округа);060000</t>
  </si>
  <si>
    <t>СУБСИДИИ (бюджет автономного округа);040000</t>
  </si>
  <si>
    <t>МУНИЦИПАЛЬНЫЕ ПРОГРАММЫ;020000</t>
  </si>
  <si>
    <t>Муниципальная программа "Развитие отдельных секторов экономики города Ханты-Мансийска" на 2016-2020 годы</t>
  </si>
  <si>
    <t>СУБВЕНЦИИ (федеральный бюджет);050000</t>
  </si>
  <si>
    <t>Муниципальная программа "Развитие муниципальной службы в городе Ханты-Мансийске" на 2016-2020 годы</t>
  </si>
  <si>
    <t>ИМТ (бюджет автономного округа);080000</t>
  </si>
  <si>
    <t>Муниципальная программа "Молодежь города Ханты-Мансийска" на 2016-2020 годы</t>
  </si>
  <si>
    <t>Муниципальная программа "Проектирование и строительство инженерных сетей на территории города Ханты-Мансийска" на 2016-2020 годы</t>
  </si>
  <si>
    <t xml:space="preserve">Муниципальная программа "Обеспечение градостроительной деятельности на территории города Ханты-Мансийска" на 2016-2020 годы </t>
  </si>
  <si>
    <t>Муниципальная программа "Защита населения и территории от чрезвычайных ситуаций, обеспечение пожарной безопасности города Ханты-Мансийска на 2016-2020 годы"</t>
  </si>
  <si>
    <t>Муниципальная программа "Развитие средств массовых коммуникаций города Ханты-Мансийска на 2016-2020 годы"</t>
  </si>
  <si>
    <t>Муниципальная программа "Развитие внутреннего и въездного туризма в городе Ханты-Мансийске на 2016-2020 годы"</t>
  </si>
  <si>
    <t>Муниципальная программа "Содействие развитию садоводческих, огороднических и дачных некоммерческих объединений граждан в городе Ханты-Мансийске" на 2016-2020 годы</t>
  </si>
  <si>
    <t>Муниципальная программа "Информационное общество - Ханты-Мансийск" на 2016-2020 годы</t>
  </si>
  <si>
    <t>Муниципальная программа "Развитие транспортной системы города Ханты-Мансийска" на 2016-2020 годы</t>
  </si>
  <si>
    <t>Муниципальная программа "Управление муниципальными финансами города Ханты-Мансийска на 2016-2020 годы"</t>
  </si>
  <si>
    <t>Муниципальная программа "Осуществление городом Ханты-Мансийском функций административного центра Ханты-Мансийского автономного округа - Югры" на 2016-2020 годы</t>
  </si>
  <si>
    <t>ОСТАТКИ СРЕДСТВ из бюджета округа;120000</t>
  </si>
  <si>
    <t>СУБСИДИИ (федеральный бюджет);030000</t>
  </si>
  <si>
    <t>Муниципальная программа "Развитие жилищного и дорожного хозяйства, благоустройство города Ханты-Мансийска на 2016 – 2020 годы"</t>
  </si>
  <si>
    <t>Муниципальная программа "Развитие жилищно-коммунального комплекса  и повышение энергетической эффективности  в городе  Ханты-Мансийске  на 2016 – 2020 годы"</t>
  </si>
  <si>
    <t>Муниципальная программа "Основные направления развития в области управления и распоряжения муниципальной собственностью города Ханты-Мансийска  на 2016 - 2020 годы"</t>
  </si>
  <si>
    <t>Муниципальная программа "Обеспечение доступным и комфортным жильем жителей города Ханты-Мансийска" на 2016-2020 годы</t>
  </si>
  <si>
    <t>Муниципальная программа "Развитие образования в городе Ханты-Мансийске на 2016-2020 годы"</t>
  </si>
  <si>
    <t>Муниципальная программа "Развитие культуры в городе Ханты-Мансийске на  2016 – 2020 годы"</t>
  </si>
  <si>
    <t>Муниципальная программа "Развитие физической культуры и спорта в городе Ханты-Мансийске на 2016-2020 годы"</t>
  </si>
  <si>
    <t>Муниципальная программа "Дети-сироты" на 2016-2020 годы</t>
  </si>
  <si>
    <t>Муниципальная программа "Профилактика правонарушений в сфере обеспечения общественной безопасности и правопорядка в городе Ханты-Мансийске" на 2016-2020 годы</t>
  </si>
  <si>
    <t>Муниципальная программа "Социальная поддержка граждан города Ханты-Мансийска" на 2016-2020 годы</t>
  </si>
  <si>
    <t>Муниципальная программа "Доступная среда в городе Ханты-Мансийске" на 2016-2020 годы</t>
  </si>
  <si>
    <t>Процент исполнения кассового плана</t>
  </si>
  <si>
    <t>Отклонение от кассового плана</t>
  </si>
  <si>
    <t>Исполнено на отчётную дату</t>
  </si>
  <si>
    <t>Кассовый план на отчётную дату</t>
  </si>
  <si>
    <t>Лимиты бюджетных обязательств</t>
  </si>
  <si>
    <t>КВР</t>
  </si>
  <si>
    <t>КЦСР</t>
  </si>
  <si>
    <t>на 36.07.2017</t>
  </si>
  <si>
    <t>Исполнение госпрограмм в составе муниципальных программ ( без остатоков прошлых лет)</t>
  </si>
  <si>
    <t>36.07.2017</t>
  </si>
  <si>
    <t>местный бюджет</t>
  </si>
  <si>
    <t>Бюджет автономного округа</t>
  </si>
  <si>
    <t>Федеральный бюджет</t>
  </si>
  <si>
    <t>ОСТАТКИ СРЕДСТВ из бюджета округа</t>
  </si>
  <si>
    <t>Программные расходы в т.ч.</t>
  </si>
  <si>
    <t>Местный бюджет</t>
  </si>
  <si>
    <t>Всего</t>
  </si>
  <si>
    <t>руб.</t>
  </si>
  <si>
    <t>Отклонение от плана</t>
  </si>
  <si>
    <t>Исполнение 2016 года</t>
  </si>
  <si>
    <t>План  на 2016 год (отчётные данные)</t>
  </si>
  <si>
    <t xml:space="preserve">Утвержденный план на 2018 год </t>
  </si>
  <si>
    <t xml:space="preserve">Уточненный план на 2018 год </t>
  </si>
  <si>
    <t>Исполнение на отчетный период</t>
  </si>
  <si>
    <t>Процент исполнения к утвержденному плану</t>
  </si>
  <si>
    <t>Процент исполнения к уточненному плану</t>
  </si>
  <si>
    <t>Сведения об исполнении бюджета муниципального образования городской округ город Ханты-Мансийск по расходам в разрезе муниципальных программ в сравнении с запланированными значениями на 01 июля 2018 года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</si>
</sst>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000\.00"/>
    <numFmt numFmtId="166" formatCode="00\.00\.00"/>
    <numFmt numFmtId="167" formatCode="0000000000"/>
    <numFmt numFmtId="168" formatCode="#,##0.00_ ;[Red]\-#,##0.00\ "/>
    <numFmt numFmtId="169" formatCode="#,##0.0"/>
    <numFmt numFmtId="170" formatCode="0.0%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7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8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right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Border="1" applyAlignment="1" applyProtection="1">
      <alignment horizontal="center" vertical="center"/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3" xfId="1" applyNumberFormat="1" applyFont="1" applyFill="1" applyBorder="1" applyAlignment="1" applyProtection="1">
      <alignment horizontal="center" vertical="center"/>
      <protection hidden="1"/>
    </xf>
    <xf numFmtId="164" fontId="7" fillId="2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Font="1" applyProtection="1">
      <protection hidden="1"/>
    </xf>
    <xf numFmtId="0" fontId="1" fillId="0" borderId="0" xfId="1" applyFont="1"/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Font="1" applyFill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protection hidden="1"/>
    </xf>
    <xf numFmtId="166" fontId="7" fillId="0" borderId="1" xfId="1" applyNumberFormat="1" applyFont="1" applyFill="1" applyBorder="1" applyAlignment="1" applyProtection="1">
      <alignment horizontal="center" wrapText="1"/>
      <protection hidden="1"/>
    </xf>
    <xf numFmtId="165" fontId="7" fillId="0" borderId="1" xfId="1" applyNumberFormat="1" applyFont="1" applyFill="1" applyBorder="1" applyAlignment="1" applyProtection="1">
      <alignment horizontal="center" wrapText="1"/>
      <protection hidden="1"/>
    </xf>
    <xf numFmtId="166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" xfId="1" applyNumberFormat="1" applyFont="1" applyFill="1" applyBorder="1" applyAlignment="1" applyProtection="1">
      <alignment horizontal="center" wrapText="1"/>
      <protection hidden="1"/>
    </xf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0" xfId="1" applyFont="1" applyBorder="1" applyProtection="1">
      <protection hidden="1"/>
    </xf>
    <xf numFmtId="0" fontId="7" fillId="0" borderId="3" xfId="1" applyNumberFormat="1" applyFont="1" applyFill="1" applyBorder="1" applyAlignment="1" applyProtection="1">
      <alignment horizontal="center"/>
      <protection hidden="1"/>
    </xf>
    <xf numFmtId="164" fontId="4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164" fontId="9" fillId="0" borderId="0" xfId="1" applyNumberFormat="1" applyFont="1" applyBorder="1" applyProtection="1">
      <protection hidden="1"/>
    </xf>
    <xf numFmtId="0" fontId="8" fillId="0" borderId="1" xfId="1" applyNumberFormat="1" applyFont="1" applyFill="1" applyBorder="1" applyAlignment="1" applyProtection="1">
      <alignment vertical="center" wrapText="1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protection hidden="1"/>
    </xf>
    <xf numFmtId="0" fontId="7" fillId="0" borderId="1" xfId="1" applyFont="1" applyBorder="1" applyProtection="1"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169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1" xfId="1" applyFont="1" applyFill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left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Border="1" applyAlignment="1" applyProtection="1">
      <alignment horizontal="center" vertical="center"/>
      <protection hidden="1"/>
    </xf>
    <xf numFmtId="164" fontId="7" fillId="0" borderId="2" xfId="1" applyNumberFormat="1" applyFont="1" applyBorder="1" applyAlignment="1" applyProtection="1">
      <alignment horizontal="center" vertical="center"/>
      <protection hidden="1"/>
    </xf>
    <xf numFmtId="169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Protection="1">
      <protection hidden="1"/>
    </xf>
    <xf numFmtId="168" fontId="8" fillId="0" borderId="4" xfId="1" applyNumberFormat="1" applyFont="1" applyFill="1" applyBorder="1" applyAlignment="1" applyProtection="1">
      <alignment horizontal="center" vertical="center"/>
      <protection hidden="1"/>
    </xf>
    <xf numFmtId="169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3" xfId="1" applyNumberFormat="1" applyFont="1" applyFill="1" applyBorder="1" applyAlignment="1" applyProtection="1">
      <alignment horizontal="center"/>
      <protection hidden="1"/>
    </xf>
    <xf numFmtId="0" fontId="7" fillId="0" borderId="3" xfId="1" applyNumberFormat="1" applyFont="1" applyFill="1" applyBorder="1" applyAlignment="1" applyProtection="1">
      <alignment wrapText="1"/>
      <protection hidden="1"/>
    </xf>
    <xf numFmtId="169" fontId="8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vertical="center" wrapText="1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0" fontId="1" fillId="0" borderId="5" xfId="1" applyFont="1" applyBorder="1" applyProtection="1">
      <protection hidden="1"/>
    </xf>
    <xf numFmtId="0" fontId="2" fillId="0" borderId="5" xfId="1" applyFont="1" applyFill="1" applyBorder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70" fontId="8" fillId="0" borderId="1" xfId="1" applyNumberFormat="1" applyFont="1" applyFill="1" applyBorder="1" applyAlignment="1" applyProtection="1">
      <alignment horizontal="center" vertical="center"/>
      <protection hidden="1"/>
    </xf>
    <xf numFmtId="170" fontId="7" fillId="0" borderId="1" xfId="1" applyNumberFormat="1" applyFont="1" applyFill="1" applyBorder="1" applyAlignment="1" applyProtection="1">
      <alignment horizontal="center" vertical="center"/>
      <protection hidden="1"/>
    </xf>
    <xf numFmtId="170" fontId="7" fillId="0" borderId="2" xfId="1" applyNumberFormat="1" applyFont="1" applyFill="1" applyBorder="1" applyAlignment="1" applyProtection="1">
      <alignment horizontal="center" vertical="center"/>
      <protection hidden="1"/>
    </xf>
    <xf numFmtId="170" fontId="8" fillId="0" borderId="3" xfId="1" applyNumberFormat="1" applyFont="1" applyFill="1" applyBorder="1" applyAlignment="1" applyProtection="1">
      <alignment horizontal="center" vertical="center"/>
      <protection hidden="1"/>
    </xf>
    <xf numFmtId="170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7" xfId="1" applyNumberFormat="1" applyFont="1" applyFill="1" applyBorder="1" applyAlignment="1" applyProtection="1">
      <alignment horizontal="center" vertical="center"/>
      <protection hidden="1"/>
    </xf>
    <xf numFmtId="168" fontId="8" fillId="0" borderId="6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 wrapText="1"/>
      <protection hidden="1"/>
    </xf>
    <xf numFmtId="164" fontId="9" fillId="0" borderId="0" xfId="1" applyNumberFormat="1" applyFont="1" applyFill="1" applyBorder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/>
    <xf numFmtId="167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9"/>
  <sheetViews>
    <sheetView showGridLines="0" tabSelected="1" view="pageBreakPreview" zoomScaleNormal="100" zoomScaleSheetLayoutView="100" workbookViewId="0">
      <pane xSplit="6" ySplit="22" topLeftCell="Q89" activePane="bottomRight" state="frozen"/>
      <selection pane="topRight" activeCell="G1" sqref="G1"/>
      <selection pane="bottomLeft" activeCell="A23" sqref="A23"/>
      <selection pane="bottomRight" activeCell="V114" sqref="V114"/>
    </sheetView>
  </sheetViews>
  <sheetFormatPr defaultColWidth="9.140625" defaultRowHeight="12.75"/>
  <cols>
    <col min="1" max="1" width="6.5703125" style="32" customWidth="1"/>
    <col min="2" max="2" width="0" style="32" hidden="1" customWidth="1"/>
    <col min="3" max="3" width="44" style="32" customWidth="1"/>
    <col min="4" max="6" width="0" style="32" hidden="1" customWidth="1"/>
    <col min="7" max="7" width="16.85546875" style="32" hidden="1" customWidth="1"/>
    <col min="8" max="9" width="0" style="32" hidden="1" customWidth="1"/>
    <col min="10" max="10" width="15.85546875" style="32" hidden="1" customWidth="1"/>
    <col min="11" max="11" width="16.28515625" style="32" hidden="1" customWidth="1"/>
    <col min="12" max="12" width="14.85546875" style="32" hidden="1" customWidth="1"/>
    <col min="13" max="14" width="0" style="32" hidden="1" customWidth="1"/>
    <col min="15" max="15" width="15.7109375" style="32" hidden="1" customWidth="1"/>
    <col min="16" max="16" width="14.28515625" style="32" hidden="1" customWidth="1"/>
    <col min="17" max="17" width="16.85546875" style="32" customWidth="1"/>
    <col min="18" max="18" width="16.85546875" style="93" customWidth="1"/>
    <col min="19" max="20" width="0" style="93" hidden="1" customWidth="1"/>
    <col min="21" max="21" width="15.85546875" style="93" hidden="1" customWidth="1"/>
    <col min="22" max="22" width="16.28515625" style="93" customWidth="1"/>
    <col min="23" max="23" width="14.85546875" style="32" hidden="1" customWidth="1"/>
    <col min="24" max="25" width="9.140625" style="32" hidden="1" customWidth="1"/>
    <col min="26" max="26" width="15.7109375" style="32" hidden="1" customWidth="1"/>
    <col min="27" max="27" width="14.28515625" style="32" hidden="1" customWidth="1"/>
    <col min="28" max="28" width="15.42578125" style="32" customWidth="1"/>
    <col min="29" max="29" width="16" style="32" customWidth="1"/>
    <col min="30" max="269" width="9.140625" style="32" customWidth="1"/>
    <col min="270" max="16384" width="9.140625" style="32"/>
  </cols>
  <sheetData>
    <row r="1" spans="1:30" ht="9.75" customHeight="1">
      <c r="A1" s="31"/>
      <c r="B1" s="7"/>
      <c r="C1" s="14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5"/>
      <c r="S1" s="35"/>
      <c r="T1" s="35"/>
      <c r="U1" s="35"/>
      <c r="V1" s="35"/>
      <c r="W1" s="7"/>
      <c r="X1" s="7"/>
      <c r="Y1" s="7"/>
      <c r="Z1" s="7"/>
      <c r="AA1" s="7"/>
      <c r="AB1" s="7"/>
      <c r="AC1" s="31"/>
      <c r="AD1" s="31"/>
    </row>
    <row r="2" spans="1:30" ht="22.5" hidden="1" customHeight="1">
      <c r="A2" s="5"/>
      <c r="B2" s="9" t="s">
        <v>43</v>
      </c>
      <c r="C2" s="9"/>
      <c r="D2" s="9"/>
      <c r="E2" s="8"/>
      <c r="F2" s="8"/>
      <c r="G2" s="8"/>
      <c r="H2" s="7"/>
      <c r="I2" s="8"/>
      <c r="J2" s="8"/>
      <c r="K2" s="8"/>
      <c r="L2" s="8"/>
      <c r="M2" s="7"/>
      <c r="N2" s="7"/>
      <c r="O2" s="7"/>
      <c r="P2" s="7"/>
      <c r="Q2" s="8"/>
      <c r="R2" s="8"/>
      <c r="S2" s="35"/>
      <c r="T2" s="8"/>
      <c r="U2" s="8"/>
      <c r="V2" s="8"/>
      <c r="W2" s="8"/>
      <c r="X2" s="7"/>
      <c r="Y2" s="7"/>
      <c r="Z2" s="7"/>
      <c r="AA2" s="7"/>
      <c r="AB2" s="7"/>
      <c r="AC2" s="31"/>
      <c r="AD2" s="31"/>
    </row>
    <row r="3" spans="1:30" ht="2.4500000000000002" customHeight="1">
      <c r="A3" s="5"/>
      <c r="B3" s="9"/>
      <c r="C3" s="9"/>
      <c r="D3" s="9"/>
      <c r="E3" s="8"/>
      <c r="F3" s="8"/>
      <c r="G3" s="8"/>
      <c r="H3" s="7"/>
      <c r="I3" s="8"/>
      <c r="J3" s="8"/>
      <c r="K3" s="8"/>
      <c r="L3" s="8"/>
      <c r="M3" s="7"/>
      <c r="N3" s="7"/>
      <c r="O3" s="7"/>
      <c r="P3" s="7"/>
      <c r="Q3" s="8"/>
      <c r="R3" s="8"/>
      <c r="S3" s="35"/>
      <c r="T3" s="8"/>
      <c r="U3" s="8"/>
      <c r="V3" s="8"/>
      <c r="W3" s="8"/>
      <c r="X3" s="7"/>
      <c r="Y3" s="7"/>
      <c r="Z3" s="7"/>
      <c r="AA3" s="7"/>
      <c r="AB3" s="7"/>
      <c r="AC3" s="31"/>
      <c r="AD3" s="31"/>
    </row>
    <row r="4" spans="1:30" ht="409.6" hidden="1" customHeight="1">
      <c r="A4" s="5"/>
      <c r="B4" s="9"/>
      <c r="C4" s="9"/>
      <c r="D4" s="9"/>
      <c r="E4" s="8"/>
      <c r="F4" s="8"/>
      <c r="G4" s="8"/>
      <c r="H4" s="7"/>
      <c r="I4" s="8"/>
      <c r="J4" s="8"/>
      <c r="K4" s="8"/>
      <c r="L4" s="8"/>
      <c r="M4" s="7"/>
      <c r="N4" s="7"/>
      <c r="O4" s="7"/>
      <c r="P4" s="7"/>
      <c r="Q4" s="8"/>
      <c r="R4" s="8"/>
      <c r="S4" s="35"/>
      <c r="T4" s="8"/>
      <c r="U4" s="8"/>
      <c r="V4" s="8"/>
      <c r="W4" s="8"/>
      <c r="X4" s="7"/>
      <c r="Y4" s="7"/>
      <c r="Z4" s="7"/>
      <c r="AA4" s="7"/>
      <c r="AB4" s="7"/>
      <c r="AC4" s="31"/>
      <c r="AD4" s="31"/>
    </row>
    <row r="5" spans="1:30" ht="409.6" hidden="1" customHeight="1">
      <c r="A5" s="5"/>
      <c r="B5" s="9"/>
      <c r="C5" s="9"/>
      <c r="D5" s="9"/>
      <c r="E5" s="8"/>
      <c r="F5" s="8"/>
      <c r="G5" s="8"/>
      <c r="H5" s="7"/>
      <c r="I5" s="8"/>
      <c r="J5" s="8"/>
      <c r="K5" s="8"/>
      <c r="L5" s="8"/>
      <c r="M5" s="7"/>
      <c r="N5" s="7"/>
      <c r="O5" s="7"/>
      <c r="P5" s="7"/>
      <c r="Q5" s="8"/>
      <c r="R5" s="8"/>
      <c r="S5" s="35"/>
      <c r="T5" s="8"/>
      <c r="U5" s="8"/>
      <c r="V5" s="8"/>
      <c r="W5" s="8"/>
      <c r="X5" s="7"/>
      <c r="Y5" s="7"/>
      <c r="Z5" s="7"/>
      <c r="AA5" s="7"/>
      <c r="AB5" s="7"/>
      <c r="AC5" s="31"/>
      <c r="AD5" s="31"/>
    </row>
    <row r="6" spans="1:30" ht="409.6" hidden="1" customHeight="1">
      <c r="A6" s="5"/>
      <c r="B6" s="9"/>
      <c r="C6" s="9"/>
      <c r="D6" s="9"/>
      <c r="E6" s="8"/>
      <c r="F6" s="8"/>
      <c r="G6" s="8"/>
      <c r="H6" s="7"/>
      <c r="I6" s="8"/>
      <c r="J6" s="8"/>
      <c r="K6" s="8"/>
      <c r="L6" s="8"/>
      <c r="M6" s="7"/>
      <c r="N6" s="7"/>
      <c r="O6" s="7"/>
      <c r="P6" s="7"/>
      <c r="Q6" s="8"/>
      <c r="R6" s="8"/>
      <c r="S6" s="35"/>
      <c r="T6" s="8"/>
      <c r="U6" s="8"/>
      <c r="V6" s="8"/>
      <c r="W6" s="8"/>
      <c r="X6" s="7"/>
      <c r="Y6" s="7"/>
      <c r="Z6" s="7"/>
      <c r="AA6" s="7"/>
      <c r="AB6" s="7"/>
      <c r="AC6" s="31"/>
      <c r="AD6" s="31"/>
    </row>
    <row r="7" spans="1:30" ht="409.6" hidden="1" customHeight="1">
      <c r="A7" s="5"/>
      <c r="B7" s="9"/>
      <c r="C7" s="9"/>
      <c r="D7" s="9"/>
      <c r="E7" s="8"/>
      <c r="F7" s="8"/>
      <c r="G7" s="8"/>
      <c r="H7" s="7"/>
      <c r="I7" s="8"/>
      <c r="J7" s="8"/>
      <c r="K7" s="8"/>
      <c r="L7" s="8"/>
      <c r="M7" s="7"/>
      <c r="N7" s="7"/>
      <c r="O7" s="7"/>
      <c r="P7" s="7"/>
      <c r="Q7" s="8"/>
      <c r="R7" s="8"/>
      <c r="S7" s="35"/>
      <c r="T7" s="8"/>
      <c r="U7" s="8"/>
      <c r="V7" s="8"/>
      <c r="W7" s="8"/>
      <c r="X7" s="7"/>
      <c r="Y7" s="7"/>
      <c r="Z7" s="7"/>
      <c r="AA7" s="7"/>
      <c r="AB7" s="7"/>
      <c r="AC7" s="31"/>
      <c r="AD7" s="31"/>
    </row>
    <row r="8" spans="1:30" ht="409.6" hidden="1" customHeight="1">
      <c r="A8" s="5"/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7"/>
      <c r="Y8" s="7"/>
      <c r="Z8" s="7"/>
      <c r="AA8" s="7"/>
      <c r="AB8" s="7"/>
      <c r="AC8" s="31"/>
      <c r="AD8" s="31"/>
    </row>
    <row r="9" spans="1:30" ht="409.6" hidden="1" customHeight="1">
      <c r="A9" s="5"/>
      <c r="B9" s="9"/>
      <c r="C9" s="9"/>
      <c r="D9" s="9"/>
      <c r="E9" s="8"/>
      <c r="F9" s="8"/>
      <c r="G9" s="8"/>
      <c r="H9" s="8"/>
      <c r="I9" s="8"/>
      <c r="J9" s="8"/>
      <c r="K9" s="8"/>
      <c r="L9" s="8"/>
      <c r="M9" s="7"/>
      <c r="N9" s="7"/>
      <c r="O9" s="7"/>
      <c r="P9" s="7"/>
      <c r="Q9" s="8"/>
      <c r="R9" s="8"/>
      <c r="S9" s="8"/>
      <c r="T9" s="8"/>
      <c r="U9" s="8"/>
      <c r="V9" s="8"/>
      <c r="W9" s="8"/>
      <c r="X9" s="7"/>
      <c r="Y9" s="7"/>
      <c r="Z9" s="7"/>
      <c r="AA9" s="7"/>
      <c r="AB9" s="7"/>
      <c r="AC9" s="31"/>
      <c r="AD9" s="31"/>
    </row>
    <row r="10" spans="1:30" ht="409.6" hidden="1" customHeight="1">
      <c r="A10" s="5"/>
      <c r="B10" s="9"/>
      <c r="C10" s="9"/>
      <c r="D10" s="9"/>
      <c r="E10" s="8"/>
      <c r="F10" s="8"/>
      <c r="G10" s="8"/>
      <c r="H10" s="8"/>
      <c r="I10" s="8"/>
      <c r="J10" s="8"/>
      <c r="K10" s="8"/>
      <c r="L10" s="8"/>
      <c r="M10" s="7"/>
      <c r="N10" s="7"/>
      <c r="O10" s="7"/>
      <c r="P10" s="7"/>
      <c r="Q10" s="8"/>
      <c r="R10" s="8"/>
      <c r="S10" s="8"/>
      <c r="T10" s="8"/>
      <c r="U10" s="8"/>
      <c r="V10" s="8"/>
      <c r="W10" s="8"/>
      <c r="X10" s="7"/>
      <c r="Y10" s="7"/>
      <c r="Z10" s="7"/>
      <c r="AA10" s="7"/>
      <c r="AB10" s="7"/>
      <c r="AC10" s="31"/>
      <c r="AD10" s="31"/>
    </row>
    <row r="11" spans="1:30" ht="409.6" hidden="1" customHeight="1">
      <c r="A11" s="3"/>
      <c r="B11" s="9"/>
      <c r="C11" s="9"/>
      <c r="D11" s="9"/>
      <c r="E11" s="12"/>
      <c r="F11" s="12"/>
      <c r="G11" s="12"/>
      <c r="H11" s="8"/>
      <c r="I11" s="8"/>
      <c r="J11" s="8"/>
      <c r="K11" s="8"/>
      <c r="L11" s="8"/>
      <c r="M11" s="7"/>
      <c r="N11" s="7"/>
      <c r="O11" s="7"/>
      <c r="P11" s="7"/>
      <c r="Q11" s="12"/>
      <c r="R11" s="12"/>
      <c r="S11" s="8"/>
      <c r="T11" s="8"/>
      <c r="U11" s="8"/>
      <c r="V11" s="8"/>
      <c r="W11" s="8"/>
      <c r="X11" s="7"/>
      <c r="Y11" s="7"/>
      <c r="Z11" s="7"/>
      <c r="AA11" s="7"/>
      <c r="AB11" s="7"/>
      <c r="AC11" s="31"/>
      <c r="AD11" s="31"/>
    </row>
    <row r="12" spans="1:30" ht="30" customHeight="1">
      <c r="A12" s="13"/>
      <c r="B12" s="15" t="s">
        <v>42</v>
      </c>
      <c r="C12" s="95" t="s">
        <v>60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31"/>
    </row>
    <row r="13" spans="1:30" ht="409.6" hidden="1" customHeight="1">
      <c r="A13" s="13"/>
      <c r="B13" s="16"/>
      <c r="C13" s="16"/>
      <c r="D13" s="16"/>
      <c r="E13" s="7"/>
      <c r="F13" s="7"/>
      <c r="G13" s="7"/>
      <c r="H13" s="33"/>
      <c r="I13" s="34"/>
      <c r="J13" s="35"/>
      <c r="K13" s="35"/>
      <c r="L13" s="35"/>
      <c r="M13" s="7"/>
      <c r="N13" s="7"/>
      <c r="O13" s="7"/>
      <c r="P13" s="7"/>
      <c r="Q13" s="7"/>
      <c r="R13" s="35"/>
      <c r="S13" s="33"/>
      <c r="T13" s="34"/>
      <c r="U13" s="35"/>
      <c r="V13" s="35"/>
      <c r="W13" s="35"/>
      <c r="X13" s="7"/>
      <c r="Y13" s="7"/>
      <c r="Z13" s="7"/>
      <c r="AA13" s="7"/>
      <c r="AB13" s="7"/>
      <c r="AC13" s="7"/>
      <c r="AD13" s="31"/>
    </row>
    <row r="14" spans="1:30" ht="409.6" hidden="1" customHeight="1">
      <c r="A14" s="11"/>
      <c r="B14" s="16"/>
      <c r="C14" s="16"/>
      <c r="D14" s="16"/>
      <c r="E14" s="7"/>
      <c r="F14" s="7"/>
      <c r="G14" s="7"/>
      <c r="H14" s="17"/>
      <c r="I14" s="16"/>
      <c r="J14" s="35"/>
      <c r="K14" s="35"/>
      <c r="L14" s="35"/>
      <c r="M14" s="7"/>
      <c r="N14" s="7"/>
      <c r="O14" s="7"/>
      <c r="P14" s="7"/>
      <c r="Q14" s="7"/>
      <c r="R14" s="35"/>
      <c r="S14" s="17"/>
      <c r="T14" s="16"/>
      <c r="U14" s="35"/>
      <c r="V14" s="35"/>
      <c r="W14" s="35"/>
      <c r="X14" s="7"/>
      <c r="Y14" s="7"/>
      <c r="Z14" s="7"/>
      <c r="AA14" s="7"/>
      <c r="AB14" s="7"/>
      <c r="AC14" s="7"/>
      <c r="AD14" s="31"/>
    </row>
    <row r="15" spans="1:30" ht="409.6" hidden="1" customHeight="1">
      <c r="A15" s="10"/>
      <c r="B15" s="18"/>
      <c r="C15" s="18"/>
      <c r="D15" s="18"/>
      <c r="E15" s="7"/>
      <c r="F15" s="7"/>
      <c r="G15" s="7"/>
      <c r="H15" s="17" t="s">
        <v>41</v>
      </c>
      <c r="I15" s="18"/>
      <c r="J15" s="19"/>
      <c r="K15" s="19"/>
      <c r="L15" s="19"/>
      <c r="M15" s="7"/>
      <c r="N15" s="7"/>
      <c r="O15" s="7"/>
      <c r="P15" s="7"/>
      <c r="Q15" s="7"/>
      <c r="R15" s="35"/>
      <c r="S15" s="17" t="s">
        <v>41</v>
      </c>
      <c r="T15" s="18"/>
      <c r="U15" s="19"/>
      <c r="V15" s="19"/>
      <c r="W15" s="19"/>
      <c r="X15" s="7"/>
      <c r="Y15" s="7"/>
      <c r="Z15" s="7"/>
      <c r="AA15" s="7"/>
      <c r="AB15" s="7"/>
      <c r="AC15" s="7"/>
      <c r="AD15" s="31"/>
    </row>
    <row r="16" spans="1:30" ht="409.6" hidden="1" customHeight="1">
      <c r="A16" s="5"/>
      <c r="B16" s="36"/>
      <c r="C16" s="36"/>
      <c r="D16" s="36"/>
      <c r="E16" s="35"/>
      <c r="F16" s="35"/>
      <c r="G16" s="35"/>
      <c r="H16" s="35"/>
      <c r="I16" s="35"/>
      <c r="J16" s="35"/>
      <c r="K16" s="35"/>
      <c r="L16" s="35"/>
      <c r="M16" s="7"/>
      <c r="N16" s="7"/>
      <c r="O16" s="7"/>
      <c r="P16" s="7"/>
      <c r="Q16" s="35"/>
      <c r="R16" s="35"/>
      <c r="S16" s="35"/>
      <c r="T16" s="35"/>
      <c r="U16" s="35"/>
      <c r="V16" s="35"/>
      <c r="W16" s="35"/>
      <c r="X16" s="7"/>
      <c r="Y16" s="7"/>
      <c r="Z16" s="7"/>
      <c r="AA16" s="7"/>
      <c r="AB16" s="7"/>
      <c r="AC16" s="7"/>
      <c r="AD16" s="31"/>
    </row>
    <row r="17" spans="1:30" ht="409.6" hidden="1" customHeight="1">
      <c r="A17" s="5"/>
      <c r="B17" s="36"/>
      <c r="C17" s="36"/>
      <c r="D17" s="36"/>
      <c r="E17" s="35"/>
      <c r="F17" s="35"/>
      <c r="G17" s="35"/>
      <c r="H17" s="35"/>
      <c r="I17" s="35"/>
      <c r="J17" s="35"/>
      <c r="K17" s="35"/>
      <c r="L17" s="35"/>
      <c r="M17" s="7"/>
      <c r="N17" s="7"/>
      <c r="O17" s="7"/>
      <c r="P17" s="7"/>
      <c r="Q17" s="35"/>
      <c r="R17" s="35"/>
      <c r="S17" s="35"/>
      <c r="T17" s="35"/>
      <c r="U17" s="35"/>
      <c r="V17" s="35"/>
      <c r="W17" s="35"/>
      <c r="X17" s="7"/>
      <c r="Y17" s="7"/>
      <c r="Z17" s="7"/>
      <c r="AA17" s="7"/>
      <c r="AB17" s="7"/>
      <c r="AC17" s="7"/>
      <c r="AD17" s="31"/>
    </row>
    <row r="18" spans="1:30" ht="409.6" hidden="1" customHeight="1">
      <c r="A18" s="5"/>
      <c r="B18" s="36"/>
      <c r="C18" s="36"/>
      <c r="D18" s="36"/>
      <c r="E18" s="35"/>
      <c r="F18" s="35"/>
      <c r="G18" s="35"/>
      <c r="H18" s="35"/>
      <c r="I18" s="35"/>
      <c r="J18" s="35"/>
      <c r="K18" s="35"/>
      <c r="L18" s="35"/>
      <c r="M18" s="7"/>
      <c r="N18" s="7"/>
      <c r="O18" s="7"/>
      <c r="P18" s="7"/>
      <c r="Q18" s="35"/>
      <c r="R18" s="35"/>
      <c r="S18" s="35"/>
      <c r="T18" s="35"/>
      <c r="U18" s="35"/>
      <c r="V18" s="35"/>
      <c r="W18" s="35"/>
      <c r="X18" s="7"/>
      <c r="Y18" s="7"/>
      <c r="Z18" s="7"/>
      <c r="AA18" s="7"/>
      <c r="AB18" s="7"/>
      <c r="AC18" s="7"/>
      <c r="AD18" s="31"/>
    </row>
    <row r="19" spans="1:30" ht="20.25" customHeight="1">
      <c r="A19" s="5"/>
      <c r="B19" s="36"/>
      <c r="C19" s="36"/>
      <c r="D19" s="36"/>
      <c r="E19" s="35"/>
      <c r="F19" s="35"/>
      <c r="G19" s="35"/>
      <c r="H19" s="35"/>
      <c r="I19" s="35"/>
      <c r="J19" s="35"/>
      <c r="K19" s="35"/>
      <c r="L19" s="35"/>
      <c r="M19" s="7"/>
      <c r="N19" s="7"/>
      <c r="O19" s="7"/>
      <c r="P19" s="7"/>
      <c r="Q19" s="35"/>
      <c r="R19" s="35"/>
      <c r="S19" s="35"/>
      <c r="T19" s="35"/>
      <c r="U19" s="35"/>
      <c r="V19" s="35"/>
      <c r="W19" s="35"/>
      <c r="X19" s="7"/>
      <c r="Y19" s="7"/>
      <c r="Z19" s="7"/>
      <c r="AA19" s="7"/>
      <c r="AB19" s="7"/>
      <c r="AC19" s="22" t="s">
        <v>51</v>
      </c>
      <c r="AD19" s="31"/>
    </row>
    <row r="20" spans="1:30" ht="409.6" hidden="1" customHeight="1">
      <c r="A20" s="5"/>
      <c r="B20" s="36"/>
      <c r="C20" s="36"/>
      <c r="D20" s="36"/>
      <c r="E20" s="35"/>
      <c r="F20" s="35"/>
      <c r="G20" s="35"/>
      <c r="H20" s="35"/>
      <c r="I20" s="35"/>
      <c r="J20" s="35"/>
      <c r="K20" s="35"/>
      <c r="L20" s="35"/>
      <c r="M20" s="7"/>
      <c r="N20" s="7"/>
      <c r="O20" s="7"/>
      <c r="P20" s="7"/>
      <c r="Q20" s="35"/>
      <c r="R20" s="35"/>
      <c r="S20" s="35"/>
      <c r="T20" s="35"/>
      <c r="U20" s="35"/>
      <c r="V20" s="35"/>
      <c r="W20" s="35"/>
      <c r="X20" s="7"/>
      <c r="Y20" s="7"/>
      <c r="Z20" s="7"/>
      <c r="AA20" s="7"/>
      <c r="AB20" s="7"/>
      <c r="AC20" s="7"/>
      <c r="AD20" s="31"/>
    </row>
    <row r="21" spans="1:30" ht="57" customHeight="1">
      <c r="A21" s="80"/>
      <c r="B21" s="77" t="s">
        <v>40</v>
      </c>
      <c r="C21" s="78"/>
      <c r="D21" s="50" t="s">
        <v>39</v>
      </c>
      <c r="E21" s="30" t="s">
        <v>36</v>
      </c>
      <c r="F21" s="30"/>
      <c r="G21" s="77" t="s">
        <v>54</v>
      </c>
      <c r="H21" s="77" t="s">
        <v>38</v>
      </c>
      <c r="I21" s="30"/>
      <c r="J21" s="77" t="s">
        <v>37</v>
      </c>
      <c r="K21" s="77" t="s">
        <v>53</v>
      </c>
      <c r="L21" s="77" t="s">
        <v>35</v>
      </c>
      <c r="M21" s="38"/>
      <c r="N21" s="38"/>
      <c r="O21" s="77" t="s">
        <v>52</v>
      </c>
      <c r="P21" s="77" t="s">
        <v>34</v>
      </c>
      <c r="Q21" s="77" t="s">
        <v>55</v>
      </c>
      <c r="R21" s="77" t="s">
        <v>56</v>
      </c>
      <c r="S21" s="77" t="s">
        <v>38</v>
      </c>
      <c r="T21" s="30"/>
      <c r="U21" s="77" t="s">
        <v>37</v>
      </c>
      <c r="V21" s="77" t="s">
        <v>57</v>
      </c>
      <c r="W21" s="77" t="s">
        <v>35</v>
      </c>
      <c r="X21" s="38"/>
      <c r="Y21" s="38"/>
      <c r="Z21" s="77" t="s">
        <v>52</v>
      </c>
      <c r="AA21" s="77" t="s">
        <v>34</v>
      </c>
      <c r="AB21" s="77" t="s">
        <v>58</v>
      </c>
      <c r="AC21" s="77" t="s">
        <v>59</v>
      </c>
      <c r="AD21" s="31"/>
    </row>
    <row r="22" spans="1:30" ht="409.6" hidden="1" customHeight="1">
      <c r="A22" s="80"/>
      <c r="B22" s="20"/>
      <c r="C22" s="49"/>
      <c r="D22" s="21"/>
      <c r="E22" s="20"/>
      <c r="F22" s="20"/>
      <c r="G22" s="20"/>
      <c r="H22" s="20"/>
      <c r="I22" s="20"/>
      <c r="J22" s="20"/>
      <c r="K22" s="37"/>
      <c r="L22" s="37"/>
      <c r="M22" s="38"/>
      <c r="N22" s="38"/>
      <c r="O22" s="38"/>
      <c r="P22" s="20"/>
      <c r="Q22" s="20"/>
      <c r="R22" s="20"/>
      <c r="S22" s="20"/>
      <c r="T22" s="20"/>
      <c r="U22" s="20"/>
      <c r="V22" s="90"/>
      <c r="W22" s="37"/>
      <c r="X22" s="38"/>
      <c r="Y22" s="38"/>
      <c r="Z22" s="38"/>
      <c r="AA22" s="20"/>
      <c r="AB22" s="20"/>
      <c r="AC22" s="20"/>
      <c r="AD22" s="31"/>
    </row>
    <row r="23" spans="1:30" ht="9" hidden="1" customHeight="1">
      <c r="A23" s="80"/>
      <c r="B23" s="51">
        <v>2</v>
      </c>
      <c r="C23" s="51">
        <v>1</v>
      </c>
      <c r="D23" s="52">
        <v>3</v>
      </c>
      <c r="E23" s="21">
        <v>6</v>
      </c>
      <c r="F23" s="21"/>
      <c r="G23" s="51">
        <v>2</v>
      </c>
      <c r="H23" s="51">
        <v>3</v>
      </c>
      <c r="I23" s="51"/>
      <c r="J23" s="51">
        <v>3</v>
      </c>
      <c r="K23" s="51">
        <v>4</v>
      </c>
      <c r="L23" s="51">
        <v>5</v>
      </c>
      <c r="M23" s="53"/>
      <c r="N23" s="53"/>
      <c r="O23" s="54">
        <v>6</v>
      </c>
      <c r="P23" s="51">
        <v>5</v>
      </c>
      <c r="Q23" s="51">
        <v>2</v>
      </c>
      <c r="R23" s="51">
        <v>2</v>
      </c>
      <c r="S23" s="51">
        <v>3</v>
      </c>
      <c r="T23" s="51"/>
      <c r="U23" s="51">
        <v>3</v>
      </c>
      <c r="V23" s="51">
        <v>4</v>
      </c>
      <c r="W23" s="51">
        <v>5</v>
      </c>
      <c r="X23" s="53"/>
      <c r="Y23" s="53"/>
      <c r="Z23" s="54">
        <v>6</v>
      </c>
      <c r="AA23" s="51">
        <v>6</v>
      </c>
      <c r="AB23" s="51">
        <v>6</v>
      </c>
      <c r="AC23" s="51">
        <v>7</v>
      </c>
      <c r="AD23" s="31"/>
    </row>
    <row r="24" spans="1:30" ht="45" customHeight="1">
      <c r="A24" s="80"/>
      <c r="B24" s="94" t="s">
        <v>33</v>
      </c>
      <c r="C24" s="94"/>
      <c r="D24" s="94"/>
      <c r="E24" s="94"/>
      <c r="F24" s="94"/>
      <c r="G24" s="27">
        <f>G25</f>
        <v>1465964.48</v>
      </c>
      <c r="H24" s="27">
        <f t="shared" ref="H24:O24" si="0">H25</f>
        <v>0</v>
      </c>
      <c r="I24" s="27">
        <f t="shared" si="0"/>
        <v>0</v>
      </c>
      <c r="J24" s="27">
        <f t="shared" si="0"/>
        <v>1465964.48</v>
      </c>
      <c r="K24" s="27">
        <f t="shared" si="0"/>
        <v>1465964.48</v>
      </c>
      <c r="L24" s="27">
        <f t="shared" si="0"/>
        <v>0</v>
      </c>
      <c r="M24" s="27">
        <f t="shared" si="0"/>
        <v>0</v>
      </c>
      <c r="N24" s="27">
        <f t="shared" si="0"/>
        <v>3750000</v>
      </c>
      <c r="O24" s="27">
        <f t="shared" si="0"/>
        <v>0</v>
      </c>
      <c r="P24" s="55">
        <f>K24/J24*100</f>
        <v>100</v>
      </c>
      <c r="Q24" s="27">
        <f>Q25</f>
        <v>2895200</v>
      </c>
      <c r="R24" s="27">
        <f>R25</f>
        <v>2895200</v>
      </c>
      <c r="S24" s="27">
        <f t="shared" ref="S24:Z24" si="1">S25</f>
        <v>0</v>
      </c>
      <c r="T24" s="27">
        <f t="shared" si="1"/>
        <v>0</v>
      </c>
      <c r="U24" s="27">
        <f t="shared" si="1"/>
        <v>0</v>
      </c>
      <c r="V24" s="27">
        <f t="shared" si="1"/>
        <v>0</v>
      </c>
      <c r="W24" s="27">
        <f t="shared" si="1"/>
        <v>0</v>
      </c>
      <c r="X24" s="27">
        <f t="shared" si="1"/>
        <v>0</v>
      </c>
      <c r="Y24" s="27">
        <f t="shared" si="1"/>
        <v>3750000</v>
      </c>
      <c r="Z24" s="27">
        <f t="shared" si="1"/>
        <v>2895200</v>
      </c>
      <c r="AA24" s="55" t="e">
        <f>V24/U24*100</f>
        <v>#DIV/0!</v>
      </c>
      <c r="AB24" s="83">
        <f>V24/Q24</f>
        <v>0</v>
      </c>
      <c r="AC24" s="83">
        <f>V24/R24</f>
        <v>0</v>
      </c>
      <c r="AD24" s="44"/>
    </row>
    <row r="25" spans="1:30" ht="23.45" customHeight="1">
      <c r="A25" s="80"/>
      <c r="B25" s="56"/>
      <c r="C25" s="41" t="s">
        <v>44</v>
      </c>
      <c r="D25" s="57" t="s">
        <v>5</v>
      </c>
      <c r="E25" s="39"/>
      <c r="F25" s="40"/>
      <c r="G25" s="23">
        <v>1465964.48</v>
      </c>
      <c r="H25" s="23"/>
      <c r="I25" s="24"/>
      <c r="J25" s="23">
        <v>1465964.48</v>
      </c>
      <c r="K25" s="23">
        <v>1465964.48</v>
      </c>
      <c r="L25" s="23">
        <f>J25-K25</f>
        <v>0</v>
      </c>
      <c r="M25" s="25"/>
      <c r="N25" s="26">
        <v>3750000</v>
      </c>
      <c r="O25" s="23">
        <f>G25-K25</f>
        <v>0</v>
      </c>
      <c r="P25" s="58">
        <f t="shared" ref="P25:P83" si="2">K25/J25*100</f>
        <v>100</v>
      </c>
      <c r="Q25" s="23">
        <v>2895200</v>
      </c>
      <c r="R25" s="23">
        <v>2895200</v>
      </c>
      <c r="S25" s="23"/>
      <c r="T25" s="24"/>
      <c r="U25" s="23">
        <v>0</v>
      </c>
      <c r="V25" s="23">
        <v>0</v>
      </c>
      <c r="W25" s="23">
        <f>U25-V25</f>
        <v>0</v>
      </c>
      <c r="X25" s="25"/>
      <c r="Y25" s="26">
        <v>3750000</v>
      </c>
      <c r="Z25" s="23">
        <f>R25-V25</f>
        <v>2895200</v>
      </c>
      <c r="AA25" s="58" t="e">
        <f t="shared" ref="AA25:AA89" si="3">V25/U25*100</f>
        <v>#DIV/0!</v>
      </c>
      <c r="AB25" s="84">
        <f t="shared" ref="AB25:AB89" si="4">V25/Q25</f>
        <v>0</v>
      </c>
      <c r="AC25" s="84">
        <f t="shared" ref="AC25:AC89" si="5">V25/R25</f>
        <v>0</v>
      </c>
      <c r="AD25" s="44"/>
    </row>
    <row r="26" spans="1:30" ht="49.15" customHeight="1">
      <c r="A26" s="80"/>
      <c r="B26" s="94" t="s">
        <v>32</v>
      </c>
      <c r="C26" s="94"/>
      <c r="D26" s="94"/>
      <c r="E26" s="94"/>
      <c r="F26" s="94"/>
      <c r="G26" s="27">
        <f t="shared" ref="G26:O26" si="6">G27</f>
        <v>117652903</v>
      </c>
      <c r="H26" s="27">
        <f t="shared" si="6"/>
        <v>0</v>
      </c>
      <c r="I26" s="27">
        <f t="shared" si="6"/>
        <v>0</v>
      </c>
      <c r="J26" s="27">
        <f t="shared" si="6"/>
        <v>117652903</v>
      </c>
      <c r="K26" s="27">
        <f t="shared" si="6"/>
        <v>117158439.09999999</v>
      </c>
      <c r="L26" s="27">
        <f t="shared" si="6"/>
        <v>494463.90000000596</v>
      </c>
      <c r="M26" s="27">
        <f t="shared" si="6"/>
        <v>0</v>
      </c>
      <c r="N26" s="27">
        <f t="shared" si="6"/>
        <v>3750000</v>
      </c>
      <c r="O26" s="27">
        <f t="shared" si="6"/>
        <v>494463.90000000596</v>
      </c>
      <c r="P26" s="55">
        <f t="shared" si="2"/>
        <v>99.579726562293146</v>
      </c>
      <c r="Q26" s="27">
        <f t="shared" ref="Q26:Z26" si="7">Q27</f>
        <v>120949973.42</v>
      </c>
      <c r="R26" s="27">
        <f t="shared" si="7"/>
        <v>120949973.42</v>
      </c>
      <c r="S26" s="27">
        <f t="shared" si="7"/>
        <v>0</v>
      </c>
      <c r="T26" s="27">
        <f t="shared" si="7"/>
        <v>0</v>
      </c>
      <c r="U26" s="27">
        <f t="shared" si="7"/>
        <v>819600</v>
      </c>
      <c r="V26" s="27">
        <f t="shared" si="7"/>
        <v>63861216.18</v>
      </c>
      <c r="W26" s="27">
        <f t="shared" si="7"/>
        <v>-63041616.18</v>
      </c>
      <c r="X26" s="27">
        <f t="shared" si="7"/>
        <v>0</v>
      </c>
      <c r="Y26" s="27">
        <f t="shared" si="7"/>
        <v>3750000</v>
      </c>
      <c r="Z26" s="27">
        <f t="shared" si="7"/>
        <v>57088757.240000002</v>
      </c>
      <c r="AA26" s="55">
        <f t="shared" si="3"/>
        <v>7791.7540483162511</v>
      </c>
      <c r="AB26" s="83">
        <f t="shared" si="4"/>
        <v>0.52799694265530162</v>
      </c>
      <c r="AC26" s="83">
        <f t="shared" si="5"/>
        <v>0.52799694265530162</v>
      </c>
      <c r="AD26" s="44"/>
    </row>
    <row r="27" spans="1:30" ht="25.15" customHeight="1">
      <c r="A27" s="80"/>
      <c r="B27" s="56"/>
      <c r="C27" s="41" t="s">
        <v>44</v>
      </c>
      <c r="D27" s="57" t="s">
        <v>5</v>
      </c>
      <c r="E27" s="39"/>
      <c r="F27" s="40"/>
      <c r="G27" s="23">
        <v>117652903</v>
      </c>
      <c r="H27" s="23"/>
      <c r="I27" s="24"/>
      <c r="J27" s="23">
        <v>117652903</v>
      </c>
      <c r="K27" s="23">
        <v>117158439.09999999</v>
      </c>
      <c r="L27" s="23">
        <f>J27-K27</f>
        <v>494463.90000000596</v>
      </c>
      <c r="M27" s="25"/>
      <c r="N27" s="26">
        <v>3750000</v>
      </c>
      <c r="O27" s="23">
        <f>G27-K27</f>
        <v>494463.90000000596</v>
      </c>
      <c r="P27" s="58">
        <f t="shared" si="2"/>
        <v>99.579726562293146</v>
      </c>
      <c r="Q27" s="23">
        <v>120949973.42</v>
      </c>
      <c r="R27" s="23">
        <v>120949973.42</v>
      </c>
      <c r="S27" s="23"/>
      <c r="T27" s="24"/>
      <c r="U27" s="23">
        <v>819600</v>
      </c>
      <c r="V27" s="23">
        <v>63861216.18</v>
      </c>
      <c r="W27" s="23">
        <f>U27-V27</f>
        <v>-63041616.18</v>
      </c>
      <c r="X27" s="25"/>
      <c r="Y27" s="26">
        <v>3750000</v>
      </c>
      <c r="Z27" s="23">
        <f>R27-V27</f>
        <v>57088757.240000002</v>
      </c>
      <c r="AA27" s="58">
        <f t="shared" si="3"/>
        <v>7791.7540483162511</v>
      </c>
      <c r="AB27" s="84">
        <f t="shared" si="4"/>
        <v>0.52799694265530162</v>
      </c>
      <c r="AC27" s="84">
        <f t="shared" si="5"/>
        <v>0.52799694265530162</v>
      </c>
      <c r="AD27" s="44"/>
    </row>
    <row r="28" spans="1:30" ht="54.75" customHeight="1">
      <c r="A28" s="80"/>
      <c r="B28" s="94" t="s">
        <v>31</v>
      </c>
      <c r="C28" s="94"/>
      <c r="D28" s="94"/>
      <c r="E28" s="94"/>
      <c r="F28" s="94"/>
      <c r="G28" s="27">
        <f t="shared" ref="G28:O28" si="8">SUM(G29:G31)</f>
        <v>18296744.310000002</v>
      </c>
      <c r="H28" s="27">
        <f t="shared" si="8"/>
        <v>0</v>
      </c>
      <c r="I28" s="27">
        <f t="shared" si="8"/>
        <v>0</v>
      </c>
      <c r="J28" s="27">
        <f t="shared" si="8"/>
        <v>18181451</v>
      </c>
      <c r="K28" s="27">
        <f t="shared" si="8"/>
        <v>18181243</v>
      </c>
      <c r="L28" s="27">
        <f t="shared" si="8"/>
        <v>208</v>
      </c>
      <c r="M28" s="27">
        <f t="shared" si="8"/>
        <v>0</v>
      </c>
      <c r="N28" s="27">
        <f t="shared" si="8"/>
        <v>11250000</v>
      </c>
      <c r="O28" s="27">
        <f t="shared" si="8"/>
        <v>115501.30999999959</v>
      </c>
      <c r="P28" s="55">
        <f t="shared" si="2"/>
        <v>99.998855976896451</v>
      </c>
      <c r="Q28" s="27">
        <f t="shared" ref="Q28:R28" si="9">SUM(Q29:Q31)</f>
        <v>22237818.899999999</v>
      </c>
      <c r="R28" s="27">
        <f t="shared" si="9"/>
        <v>22636331.689999998</v>
      </c>
      <c r="S28" s="27">
        <f t="shared" ref="S28:Z28" si="10">SUM(S29:S31)</f>
        <v>0</v>
      </c>
      <c r="T28" s="27">
        <f t="shared" si="10"/>
        <v>0</v>
      </c>
      <c r="U28" s="27">
        <f t="shared" si="10"/>
        <v>758563.37</v>
      </c>
      <c r="V28" s="27">
        <f t="shared" si="10"/>
        <v>8748171.4800000004</v>
      </c>
      <c r="W28" s="27">
        <f t="shared" si="10"/>
        <v>-7989608.1100000003</v>
      </c>
      <c r="X28" s="27">
        <f t="shared" si="10"/>
        <v>0</v>
      </c>
      <c r="Y28" s="27">
        <f t="shared" si="10"/>
        <v>11250000</v>
      </c>
      <c r="Z28" s="27">
        <f t="shared" si="10"/>
        <v>13888160.209999999</v>
      </c>
      <c r="AA28" s="55">
        <f t="shared" si="3"/>
        <v>1153.2551960688534</v>
      </c>
      <c r="AB28" s="83">
        <f t="shared" si="4"/>
        <v>0.39339161449866833</v>
      </c>
      <c r="AC28" s="83">
        <f t="shared" si="5"/>
        <v>0.38646595216064361</v>
      </c>
      <c r="AD28" s="44"/>
    </row>
    <row r="29" spans="1:30" ht="23.45" customHeight="1">
      <c r="A29" s="80"/>
      <c r="B29" s="56"/>
      <c r="C29" s="41" t="s">
        <v>44</v>
      </c>
      <c r="D29" s="57" t="s">
        <v>5</v>
      </c>
      <c r="E29" s="39"/>
      <c r="F29" s="40"/>
      <c r="G29" s="23">
        <v>13321644.310000001</v>
      </c>
      <c r="H29" s="23"/>
      <c r="I29" s="24"/>
      <c r="J29" s="23">
        <v>13321563.810000001</v>
      </c>
      <c r="K29" s="23">
        <v>13321355.810000001</v>
      </c>
      <c r="L29" s="23">
        <f t="shared" ref="L29:L31" si="11">J29-K29</f>
        <v>208</v>
      </c>
      <c r="M29" s="25"/>
      <c r="N29" s="26">
        <v>3750000</v>
      </c>
      <c r="O29" s="23">
        <f t="shared" ref="O29:O31" si="12">G29-K29</f>
        <v>288.5</v>
      </c>
      <c r="P29" s="58">
        <f t="shared" si="2"/>
        <v>99.998438621749159</v>
      </c>
      <c r="Q29" s="23">
        <v>10992418.9</v>
      </c>
      <c r="R29" s="23">
        <v>11266931.689999999</v>
      </c>
      <c r="S29" s="23"/>
      <c r="T29" s="24"/>
      <c r="U29" s="23">
        <v>566563.37</v>
      </c>
      <c r="V29" s="23">
        <v>3861285.66</v>
      </c>
      <c r="W29" s="23">
        <f t="shared" ref="W29:W31" si="13">U29-V29</f>
        <v>-3294722.29</v>
      </c>
      <c r="X29" s="25"/>
      <c r="Y29" s="26">
        <v>3750000</v>
      </c>
      <c r="Z29" s="23">
        <f t="shared" ref="Z29:Z31" si="14">R29-V29</f>
        <v>7405646.0299999993</v>
      </c>
      <c r="AA29" s="58">
        <f t="shared" si="3"/>
        <v>681.52758622570332</v>
      </c>
      <c r="AB29" s="84">
        <f t="shared" si="4"/>
        <v>0.35126805984440784</v>
      </c>
      <c r="AC29" s="84">
        <f t="shared" si="5"/>
        <v>0.34270960064727263</v>
      </c>
      <c r="AD29" s="44"/>
    </row>
    <row r="30" spans="1:30" ht="18.600000000000001" customHeight="1">
      <c r="A30" s="80"/>
      <c r="B30" s="56"/>
      <c r="C30" s="41" t="s">
        <v>45</v>
      </c>
      <c r="D30" s="57" t="s">
        <v>4</v>
      </c>
      <c r="E30" s="39"/>
      <c r="F30" s="40"/>
      <c r="G30" s="23">
        <v>4716700</v>
      </c>
      <c r="H30" s="23"/>
      <c r="I30" s="24"/>
      <c r="J30" s="23">
        <v>4615476.1900000004</v>
      </c>
      <c r="K30" s="23">
        <v>4615476.1900000004</v>
      </c>
      <c r="L30" s="23">
        <f t="shared" si="11"/>
        <v>0</v>
      </c>
      <c r="M30" s="25"/>
      <c r="N30" s="26">
        <v>3750000</v>
      </c>
      <c r="O30" s="23">
        <f t="shared" si="12"/>
        <v>101223.80999999959</v>
      </c>
      <c r="P30" s="58">
        <f t="shared" si="2"/>
        <v>100</v>
      </c>
      <c r="Q30" s="23">
        <v>11063000</v>
      </c>
      <c r="R30" s="23">
        <f>7732300+3454700</f>
        <v>11187000</v>
      </c>
      <c r="S30" s="23"/>
      <c r="T30" s="24"/>
      <c r="U30" s="23">
        <v>192000</v>
      </c>
      <c r="V30" s="23">
        <f>3030744+1856141.82</f>
        <v>4886885.82</v>
      </c>
      <c r="W30" s="23">
        <f t="shared" si="13"/>
        <v>-4694885.82</v>
      </c>
      <c r="X30" s="25"/>
      <c r="Y30" s="26">
        <v>3750000</v>
      </c>
      <c r="Z30" s="23">
        <f t="shared" si="14"/>
        <v>6300114.1799999997</v>
      </c>
      <c r="AA30" s="58">
        <f t="shared" si="3"/>
        <v>2545.2530312500003</v>
      </c>
      <c r="AB30" s="84">
        <f t="shared" si="4"/>
        <v>0.44173242520112088</v>
      </c>
      <c r="AC30" s="84">
        <f t="shared" si="5"/>
        <v>0.43683613301153129</v>
      </c>
      <c r="AD30" s="44"/>
    </row>
    <row r="31" spans="1:30" ht="13.5" customHeight="1">
      <c r="A31" s="80"/>
      <c r="B31" s="56"/>
      <c r="C31" s="41" t="s">
        <v>46</v>
      </c>
      <c r="D31" s="57" t="s">
        <v>7</v>
      </c>
      <c r="E31" s="39"/>
      <c r="F31" s="40"/>
      <c r="G31" s="23">
        <v>258400</v>
      </c>
      <c r="H31" s="23"/>
      <c r="I31" s="24"/>
      <c r="J31" s="23">
        <v>244411</v>
      </c>
      <c r="K31" s="23">
        <v>244411</v>
      </c>
      <c r="L31" s="23">
        <f t="shared" si="11"/>
        <v>0</v>
      </c>
      <c r="M31" s="25"/>
      <c r="N31" s="26">
        <v>3750000</v>
      </c>
      <c r="O31" s="23">
        <f t="shared" si="12"/>
        <v>13989</v>
      </c>
      <c r="P31" s="58">
        <f t="shared" si="2"/>
        <v>100</v>
      </c>
      <c r="Q31" s="23">
        <v>182400</v>
      </c>
      <c r="R31" s="23">
        <v>182400</v>
      </c>
      <c r="S31" s="23"/>
      <c r="T31" s="24"/>
      <c r="U31" s="23">
        <v>0</v>
      </c>
      <c r="V31" s="23">
        <v>0</v>
      </c>
      <c r="W31" s="23">
        <f t="shared" si="13"/>
        <v>0</v>
      </c>
      <c r="X31" s="25"/>
      <c r="Y31" s="26">
        <v>3750000</v>
      </c>
      <c r="Z31" s="23">
        <f t="shared" si="14"/>
        <v>182400</v>
      </c>
      <c r="AA31" s="58" t="e">
        <f>V31/U31*100</f>
        <v>#DIV/0!</v>
      </c>
      <c r="AB31" s="84">
        <f t="shared" si="4"/>
        <v>0</v>
      </c>
      <c r="AC31" s="84">
        <f t="shared" si="5"/>
        <v>0</v>
      </c>
      <c r="AD31" s="44"/>
    </row>
    <row r="32" spans="1:30" ht="35.450000000000003" customHeight="1">
      <c r="A32" s="80"/>
      <c r="B32" s="94" t="s">
        <v>30</v>
      </c>
      <c r="C32" s="94"/>
      <c r="D32" s="94"/>
      <c r="E32" s="94"/>
      <c r="F32" s="94"/>
      <c r="G32" s="27">
        <f t="shared" ref="G32:O32" si="15">SUM(G33:G34)</f>
        <v>72886916.060000002</v>
      </c>
      <c r="H32" s="27">
        <f t="shared" si="15"/>
        <v>0</v>
      </c>
      <c r="I32" s="27">
        <f t="shared" si="15"/>
        <v>0</v>
      </c>
      <c r="J32" s="27">
        <f t="shared" si="15"/>
        <v>72886916.060000002</v>
      </c>
      <c r="K32" s="27">
        <f t="shared" si="15"/>
        <v>72463769.890000001</v>
      </c>
      <c r="L32" s="27">
        <f t="shared" si="15"/>
        <v>423146.17000000179</v>
      </c>
      <c r="M32" s="27">
        <f t="shared" si="15"/>
        <v>0</v>
      </c>
      <c r="N32" s="27">
        <f t="shared" si="15"/>
        <v>7500000</v>
      </c>
      <c r="O32" s="27">
        <f t="shared" si="15"/>
        <v>423146.17000000179</v>
      </c>
      <c r="P32" s="55">
        <f t="shared" si="2"/>
        <v>99.419448382681381</v>
      </c>
      <c r="Q32" s="27">
        <f t="shared" ref="Q32:R32" si="16">SUM(Q33:Q34)</f>
        <v>83652290</v>
      </c>
      <c r="R32" s="27">
        <f t="shared" si="16"/>
        <v>84711690</v>
      </c>
      <c r="S32" s="27">
        <f t="shared" ref="S32:Z32" si="17">SUM(S33:S34)</f>
        <v>0</v>
      </c>
      <c r="T32" s="27">
        <f t="shared" si="17"/>
        <v>0</v>
      </c>
      <c r="U32" s="27">
        <f t="shared" si="17"/>
        <v>1900000</v>
      </c>
      <c r="V32" s="27">
        <f t="shared" si="17"/>
        <v>38543413.359999999</v>
      </c>
      <c r="W32" s="27">
        <f t="shared" si="17"/>
        <v>-36643413.359999999</v>
      </c>
      <c r="X32" s="27">
        <f t="shared" si="17"/>
        <v>0</v>
      </c>
      <c r="Y32" s="27">
        <f t="shared" si="17"/>
        <v>7500000</v>
      </c>
      <c r="Z32" s="27">
        <f t="shared" si="17"/>
        <v>46168276.640000001</v>
      </c>
      <c r="AA32" s="55">
        <f t="shared" si="3"/>
        <v>2028.6007031578947</v>
      </c>
      <c r="AB32" s="83">
        <f t="shared" si="4"/>
        <v>0.46075742050815344</v>
      </c>
      <c r="AC32" s="83">
        <f t="shared" si="5"/>
        <v>0.45499521211299171</v>
      </c>
      <c r="AD32" s="44"/>
    </row>
    <row r="33" spans="1:30" ht="13.5" customHeight="1">
      <c r="A33" s="80"/>
      <c r="B33" s="56"/>
      <c r="C33" s="41" t="s">
        <v>44</v>
      </c>
      <c r="D33" s="57" t="s">
        <v>5</v>
      </c>
      <c r="E33" s="39"/>
      <c r="F33" s="40"/>
      <c r="G33" s="23">
        <v>282216.06</v>
      </c>
      <c r="H33" s="23"/>
      <c r="I33" s="24"/>
      <c r="J33" s="23">
        <v>282216.06</v>
      </c>
      <c r="K33" s="23">
        <v>282216.06</v>
      </c>
      <c r="L33" s="23">
        <f t="shared" ref="L33:L34" si="18">J33-K33</f>
        <v>0</v>
      </c>
      <c r="M33" s="25"/>
      <c r="N33" s="26">
        <v>3750000</v>
      </c>
      <c r="O33" s="23">
        <f t="shared" ref="O33:O34" si="19">G33-K33</f>
        <v>0</v>
      </c>
      <c r="P33" s="58">
        <f t="shared" si="2"/>
        <v>100</v>
      </c>
      <c r="Q33" s="23">
        <v>182490</v>
      </c>
      <c r="R33" s="23">
        <v>182490</v>
      </c>
      <c r="S33" s="23"/>
      <c r="T33" s="24"/>
      <c r="U33" s="23">
        <v>0</v>
      </c>
      <c r="V33" s="23">
        <v>90000</v>
      </c>
      <c r="W33" s="23">
        <f t="shared" ref="W33:W34" si="20">U33-V33</f>
        <v>-90000</v>
      </c>
      <c r="X33" s="25"/>
      <c r="Y33" s="26">
        <v>3750000</v>
      </c>
      <c r="Z33" s="23">
        <f t="shared" ref="Z33:Z34" si="21">R33-V33</f>
        <v>92490</v>
      </c>
      <c r="AA33" s="58" t="e">
        <f t="shared" si="3"/>
        <v>#DIV/0!</v>
      </c>
      <c r="AB33" s="84">
        <f t="shared" si="4"/>
        <v>0.49317770836758179</v>
      </c>
      <c r="AC33" s="84">
        <f t="shared" si="5"/>
        <v>0.49317770836758179</v>
      </c>
      <c r="AD33" s="44"/>
    </row>
    <row r="34" spans="1:30" ht="18.600000000000001" customHeight="1">
      <c r="A34" s="80"/>
      <c r="B34" s="56"/>
      <c r="C34" s="41" t="s">
        <v>45</v>
      </c>
      <c r="D34" s="57" t="s">
        <v>3</v>
      </c>
      <c r="E34" s="39"/>
      <c r="F34" s="40"/>
      <c r="G34" s="23">
        <v>72604700</v>
      </c>
      <c r="H34" s="23"/>
      <c r="I34" s="24"/>
      <c r="J34" s="23">
        <v>72604700</v>
      </c>
      <c r="K34" s="23">
        <v>72181553.829999998</v>
      </c>
      <c r="L34" s="23">
        <f t="shared" si="18"/>
        <v>423146.17000000179</v>
      </c>
      <c r="M34" s="25"/>
      <c r="N34" s="26">
        <v>3750000</v>
      </c>
      <c r="O34" s="23">
        <f t="shared" si="19"/>
        <v>423146.17000000179</v>
      </c>
      <c r="P34" s="58">
        <f t="shared" si="2"/>
        <v>99.417191765822324</v>
      </c>
      <c r="Q34" s="23">
        <v>83469800</v>
      </c>
      <c r="R34" s="23">
        <v>84529200</v>
      </c>
      <c r="S34" s="23"/>
      <c r="T34" s="24"/>
      <c r="U34" s="23">
        <v>1900000</v>
      </c>
      <c r="V34" s="23">
        <v>38453413.359999999</v>
      </c>
      <c r="W34" s="23">
        <f t="shared" si="20"/>
        <v>-36553413.359999999</v>
      </c>
      <c r="X34" s="25"/>
      <c r="Y34" s="26">
        <v>3750000</v>
      </c>
      <c r="Z34" s="23">
        <f t="shared" si="21"/>
        <v>46075786.640000001</v>
      </c>
      <c r="AA34" s="58">
        <f t="shared" si="3"/>
        <v>2023.8638610526316</v>
      </c>
      <c r="AB34" s="84">
        <f t="shared" si="4"/>
        <v>0.46068654004202719</v>
      </c>
      <c r="AC34" s="84">
        <f t="shared" si="5"/>
        <v>0.45491277996242718</v>
      </c>
      <c r="AD34" s="44"/>
    </row>
    <row r="35" spans="1:30" ht="39.6" customHeight="1">
      <c r="A35" s="80"/>
      <c r="B35" s="94" t="s">
        <v>29</v>
      </c>
      <c r="C35" s="94"/>
      <c r="D35" s="94"/>
      <c r="E35" s="94"/>
      <c r="F35" s="94"/>
      <c r="G35" s="27">
        <f t="shared" ref="G35:O35" si="22">SUM(G36:G37)</f>
        <v>172922426.78999999</v>
      </c>
      <c r="H35" s="27">
        <f t="shared" si="22"/>
        <v>0</v>
      </c>
      <c r="I35" s="27">
        <f t="shared" si="22"/>
        <v>0</v>
      </c>
      <c r="J35" s="27">
        <f t="shared" si="22"/>
        <v>172872158.93000001</v>
      </c>
      <c r="K35" s="27">
        <f t="shared" si="22"/>
        <v>171681820.44999999</v>
      </c>
      <c r="L35" s="27">
        <f t="shared" si="22"/>
        <v>1190338.4800000191</v>
      </c>
      <c r="M35" s="27">
        <f t="shared" si="22"/>
        <v>0</v>
      </c>
      <c r="N35" s="27">
        <f t="shared" si="22"/>
        <v>7500000</v>
      </c>
      <c r="O35" s="27">
        <f t="shared" si="22"/>
        <v>1240606.3400000036</v>
      </c>
      <c r="P35" s="55">
        <f t="shared" si="2"/>
        <v>99.311434248656539</v>
      </c>
      <c r="Q35" s="27">
        <f t="shared" ref="Q35:R35" si="23">SUM(Q36:Q37)</f>
        <v>176370986.94</v>
      </c>
      <c r="R35" s="27">
        <f t="shared" si="23"/>
        <v>179764850.94999999</v>
      </c>
      <c r="S35" s="27">
        <f t="shared" ref="S35:Z35" si="24">SUM(S36:S37)</f>
        <v>0</v>
      </c>
      <c r="T35" s="27">
        <f t="shared" si="24"/>
        <v>0</v>
      </c>
      <c r="U35" s="27">
        <f t="shared" si="24"/>
        <v>7362112.0899999999</v>
      </c>
      <c r="V35" s="27">
        <f t="shared" si="24"/>
        <v>90860545.579999998</v>
      </c>
      <c r="W35" s="27">
        <f t="shared" si="24"/>
        <v>-83498433.489999995</v>
      </c>
      <c r="X35" s="27">
        <f t="shared" si="24"/>
        <v>0</v>
      </c>
      <c r="Y35" s="27">
        <f t="shared" si="24"/>
        <v>7500000</v>
      </c>
      <c r="Z35" s="27">
        <f t="shared" si="24"/>
        <v>88904305.370000005</v>
      </c>
      <c r="AA35" s="55">
        <f t="shared" si="3"/>
        <v>1234.1641158033497</v>
      </c>
      <c r="AB35" s="83">
        <f t="shared" si="4"/>
        <v>0.51516718909618642</v>
      </c>
      <c r="AC35" s="83">
        <f t="shared" si="5"/>
        <v>0.5054411087586419</v>
      </c>
      <c r="AD35" s="44"/>
    </row>
    <row r="36" spans="1:30" ht="21.6" customHeight="1">
      <c r="A36" s="80"/>
      <c r="B36" s="56"/>
      <c r="C36" s="41" t="s">
        <v>44</v>
      </c>
      <c r="D36" s="57" t="s">
        <v>5</v>
      </c>
      <c r="E36" s="39"/>
      <c r="F36" s="40"/>
      <c r="G36" s="23">
        <v>166845337.28999999</v>
      </c>
      <c r="H36" s="23"/>
      <c r="I36" s="24"/>
      <c r="J36" s="23">
        <v>166795069.43000001</v>
      </c>
      <c r="K36" s="23">
        <v>165604730.94999999</v>
      </c>
      <c r="L36" s="23">
        <f t="shared" ref="L36:L37" si="25">J36-K36</f>
        <v>1190338.4800000191</v>
      </c>
      <c r="M36" s="25"/>
      <c r="N36" s="26">
        <v>3750000</v>
      </c>
      <c r="O36" s="23">
        <f t="shared" ref="O36:O37" si="26">G36-K36</f>
        <v>1240606.3400000036</v>
      </c>
      <c r="P36" s="58">
        <f t="shared" si="2"/>
        <v>99.286346722317489</v>
      </c>
      <c r="Q36" s="23">
        <v>173427986.94</v>
      </c>
      <c r="R36" s="23">
        <f>3976159.7+169141687.49+454150</f>
        <v>173571997.19</v>
      </c>
      <c r="S36" s="23"/>
      <c r="T36" s="24"/>
      <c r="U36" s="23">
        <v>5362112.09</v>
      </c>
      <c r="V36" s="23">
        <f>1791037+88441310.33+354150</f>
        <v>90586497.329999998</v>
      </c>
      <c r="W36" s="23">
        <f t="shared" ref="W36:W37" si="27">U36-V36</f>
        <v>-85224385.239999995</v>
      </c>
      <c r="X36" s="25"/>
      <c r="Y36" s="26">
        <v>3750000</v>
      </c>
      <c r="Z36" s="23">
        <f t="shared" ref="Z36:Z37" si="28">R36-V36</f>
        <v>82985499.859999999</v>
      </c>
      <c r="AA36" s="58">
        <f t="shared" si="3"/>
        <v>1689.3808971084006</v>
      </c>
      <c r="AB36" s="84">
        <f t="shared" si="4"/>
        <v>0.52232917494071907</v>
      </c>
      <c r="AC36" s="84">
        <f t="shared" si="5"/>
        <v>0.52189580575511729</v>
      </c>
      <c r="AD36" s="44"/>
    </row>
    <row r="37" spans="1:30" ht="21" customHeight="1">
      <c r="A37" s="80"/>
      <c r="B37" s="56"/>
      <c r="C37" s="41" t="s">
        <v>45</v>
      </c>
      <c r="D37" s="57" t="s">
        <v>9</v>
      </c>
      <c r="E37" s="39"/>
      <c r="F37" s="40"/>
      <c r="G37" s="23">
        <v>6077089.5</v>
      </c>
      <c r="H37" s="23"/>
      <c r="I37" s="24"/>
      <c r="J37" s="23">
        <v>6077089.5</v>
      </c>
      <c r="K37" s="23">
        <v>6077089.5</v>
      </c>
      <c r="L37" s="23">
        <f t="shared" si="25"/>
        <v>0</v>
      </c>
      <c r="M37" s="25"/>
      <c r="N37" s="26">
        <v>3750000</v>
      </c>
      <c r="O37" s="23">
        <f t="shared" si="26"/>
        <v>0</v>
      </c>
      <c r="P37" s="58">
        <f t="shared" si="2"/>
        <v>100</v>
      </c>
      <c r="Q37" s="23">
        <v>2943000</v>
      </c>
      <c r="R37" s="23">
        <f>2240553.76+3952300</f>
        <v>6192853.7599999998</v>
      </c>
      <c r="S37" s="23"/>
      <c r="T37" s="24"/>
      <c r="U37" s="23">
        <v>2000000</v>
      </c>
      <c r="V37" s="23">
        <v>274048.25</v>
      </c>
      <c r="W37" s="23">
        <f t="shared" si="27"/>
        <v>1725951.75</v>
      </c>
      <c r="X37" s="25"/>
      <c r="Y37" s="26">
        <v>3750000</v>
      </c>
      <c r="Z37" s="23">
        <f t="shared" si="28"/>
        <v>5918805.5099999998</v>
      </c>
      <c r="AA37" s="58">
        <f t="shared" si="3"/>
        <v>13.702412499999999</v>
      </c>
      <c r="AB37" s="84">
        <f t="shared" si="4"/>
        <v>9.3118671423717297E-2</v>
      </c>
      <c r="AC37" s="84">
        <f t="shared" si="5"/>
        <v>4.4252336744990406E-2</v>
      </c>
      <c r="AD37" s="44"/>
    </row>
    <row r="38" spans="1:30" ht="40.9" customHeight="1">
      <c r="A38" s="80"/>
      <c r="B38" s="94" t="s">
        <v>28</v>
      </c>
      <c r="C38" s="94"/>
      <c r="D38" s="94"/>
      <c r="E38" s="94"/>
      <c r="F38" s="94"/>
      <c r="G38" s="27">
        <f t="shared" ref="G38:O38" si="29">SUM(G39:G41)</f>
        <v>134326181.84999999</v>
      </c>
      <c r="H38" s="27">
        <f t="shared" si="29"/>
        <v>0</v>
      </c>
      <c r="I38" s="27">
        <f t="shared" si="29"/>
        <v>0</v>
      </c>
      <c r="J38" s="27">
        <f t="shared" si="29"/>
        <v>134326181.84999999</v>
      </c>
      <c r="K38" s="27">
        <f t="shared" si="29"/>
        <v>132758527.67</v>
      </c>
      <c r="L38" s="27">
        <f t="shared" si="29"/>
        <v>1567654.179999995</v>
      </c>
      <c r="M38" s="27">
        <f t="shared" si="29"/>
        <v>0</v>
      </c>
      <c r="N38" s="27">
        <f t="shared" si="29"/>
        <v>11250000</v>
      </c>
      <c r="O38" s="27">
        <f t="shared" si="29"/>
        <v>1567654.179999995</v>
      </c>
      <c r="P38" s="55">
        <f t="shared" si="2"/>
        <v>98.832949646591928</v>
      </c>
      <c r="Q38" s="27">
        <f t="shared" ref="Q38:R38" si="30">SUM(Q39:Q41)</f>
        <v>175204815.36000001</v>
      </c>
      <c r="R38" s="27">
        <f t="shared" si="30"/>
        <v>175204815.36000001</v>
      </c>
      <c r="S38" s="27">
        <f t="shared" ref="S38:Z38" si="31">SUM(S39:S41)</f>
        <v>0</v>
      </c>
      <c r="T38" s="27">
        <f t="shared" si="31"/>
        <v>0</v>
      </c>
      <c r="U38" s="27">
        <f t="shared" si="31"/>
        <v>5633479.75</v>
      </c>
      <c r="V38" s="27">
        <f t="shared" si="31"/>
        <v>96719529.920000002</v>
      </c>
      <c r="W38" s="27">
        <f t="shared" si="31"/>
        <v>-91086050.170000002</v>
      </c>
      <c r="X38" s="27">
        <f t="shared" si="31"/>
        <v>0</v>
      </c>
      <c r="Y38" s="27">
        <f t="shared" si="31"/>
        <v>11250000</v>
      </c>
      <c r="Z38" s="27">
        <f t="shared" si="31"/>
        <v>78485285.440000013</v>
      </c>
      <c r="AA38" s="55">
        <f t="shared" si="3"/>
        <v>1716.8701089233525</v>
      </c>
      <c r="AB38" s="83">
        <f t="shared" si="4"/>
        <v>0.55203693871807513</v>
      </c>
      <c r="AC38" s="83">
        <f t="shared" si="5"/>
        <v>0.55203693871807513</v>
      </c>
      <c r="AD38" s="44"/>
    </row>
    <row r="39" spans="1:30" ht="19.899999999999999" customHeight="1">
      <c r="A39" s="80"/>
      <c r="B39" s="56"/>
      <c r="C39" s="41" t="s">
        <v>44</v>
      </c>
      <c r="D39" s="57" t="s">
        <v>5</v>
      </c>
      <c r="E39" s="39"/>
      <c r="F39" s="40"/>
      <c r="G39" s="23">
        <v>130125981.84999999</v>
      </c>
      <c r="H39" s="23"/>
      <c r="I39" s="24"/>
      <c r="J39" s="23">
        <v>130125981.84999999</v>
      </c>
      <c r="K39" s="23">
        <v>128559243.72</v>
      </c>
      <c r="L39" s="23">
        <f t="shared" ref="L39:L41" si="32">J39-K39</f>
        <v>1566738.1299999952</v>
      </c>
      <c r="M39" s="25"/>
      <c r="N39" s="26">
        <v>3750000</v>
      </c>
      <c r="O39" s="23">
        <f t="shared" ref="O39:O41" si="33">G39-K39</f>
        <v>1566738.1299999952</v>
      </c>
      <c r="P39" s="58">
        <f t="shared" si="2"/>
        <v>98.79598362469531</v>
      </c>
      <c r="Q39" s="23">
        <v>144449915.36000001</v>
      </c>
      <c r="R39" s="23">
        <f>12121520+130764395.36+1564000</f>
        <v>144449915.36000001</v>
      </c>
      <c r="S39" s="23"/>
      <c r="T39" s="24"/>
      <c r="U39" s="23">
        <v>5633479.75</v>
      </c>
      <c r="V39" s="23">
        <f>6797779+75909718.67+935000</f>
        <v>83642497.670000002</v>
      </c>
      <c r="W39" s="23">
        <f t="shared" ref="W39:W41" si="34">U39-V39</f>
        <v>-78009017.920000002</v>
      </c>
      <c r="X39" s="25"/>
      <c r="Y39" s="26">
        <v>3750000</v>
      </c>
      <c r="Z39" s="23">
        <f t="shared" ref="Z39:Z41" si="35">R39-V39</f>
        <v>60807417.690000013</v>
      </c>
      <c r="AA39" s="58">
        <f t="shared" si="3"/>
        <v>1484.7394750997373</v>
      </c>
      <c r="AB39" s="84">
        <f t="shared" si="4"/>
        <v>0.57904151388074576</v>
      </c>
      <c r="AC39" s="84">
        <f t="shared" si="5"/>
        <v>0.57904151388074576</v>
      </c>
      <c r="AD39" s="44"/>
    </row>
    <row r="40" spans="1:30" ht="13.5" customHeight="1">
      <c r="A40" s="80"/>
      <c r="B40" s="56"/>
      <c r="C40" s="41" t="s">
        <v>46</v>
      </c>
      <c r="D40" s="57" t="s">
        <v>22</v>
      </c>
      <c r="E40" s="39"/>
      <c r="F40" s="40"/>
      <c r="G40" s="23">
        <v>24100</v>
      </c>
      <c r="H40" s="23"/>
      <c r="I40" s="24"/>
      <c r="J40" s="23">
        <v>24100</v>
      </c>
      <c r="K40" s="23">
        <v>24100</v>
      </c>
      <c r="L40" s="23">
        <f t="shared" si="32"/>
        <v>0</v>
      </c>
      <c r="M40" s="25"/>
      <c r="N40" s="26">
        <v>3750000</v>
      </c>
      <c r="O40" s="23">
        <f t="shared" si="33"/>
        <v>0</v>
      </c>
      <c r="P40" s="58">
        <f t="shared" si="2"/>
        <v>100</v>
      </c>
      <c r="Q40" s="23">
        <v>30200</v>
      </c>
      <c r="R40" s="23">
        <v>30200</v>
      </c>
      <c r="S40" s="23"/>
      <c r="T40" s="24"/>
      <c r="U40" s="23">
        <v>0</v>
      </c>
      <c r="V40" s="23">
        <v>0</v>
      </c>
      <c r="W40" s="23">
        <f t="shared" si="34"/>
        <v>0</v>
      </c>
      <c r="X40" s="25"/>
      <c r="Y40" s="26">
        <v>3750000</v>
      </c>
      <c r="Z40" s="23">
        <f t="shared" si="35"/>
        <v>30200</v>
      </c>
      <c r="AA40" s="58" t="e">
        <f t="shared" si="3"/>
        <v>#DIV/0!</v>
      </c>
      <c r="AB40" s="84">
        <f t="shared" si="4"/>
        <v>0</v>
      </c>
      <c r="AC40" s="84">
        <f t="shared" si="5"/>
        <v>0</v>
      </c>
      <c r="AD40" s="44"/>
    </row>
    <row r="41" spans="1:30" ht="18.600000000000001" customHeight="1">
      <c r="A41" s="80"/>
      <c r="B41" s="56"/>
      <c r="C41" s="41" t="s">
        <v>45</v>
      </c>
      <c r="D41" s="57" t="s">
        <v>4</v>
      </c>
      <c r="E41" s="39"/>
      <c r="F41" s="40"/>
      <c r="G41" s="23">
        <v>4176100</v>
      </c>
      <c r="H41" s="23"/>
      <c r="I41" s="24"/>
      <c r="J41" s="23">
        <v>4176100</v>
      </c>
      <c r="K41" s="23">
        <v>4175183.95</v>
      </c>
      <c r="L41" s="23">
        <f t="shared" si="32"/>
        <v>916.04999999981374</v>
      </c>
      <c r="M41" s="25"/>
      <c r="N41" s="26">
        <v>3750000</v>
      </c>
      <c r="O41" s="23">
        <f t="shared" si="33"/>
        <v>916.04999999981374</v>
      </c>
      <c r="P41" s="58">
        <f t="shared" si="2"/>
        <v>99.978064462057901</v>
      </c>
      <c r="Q41" s="23">
        <v>30724700</v>
      </c>
      <c r="R41" s="23">
        <f>30626100+98600</f>
        <v>30724700</v>
      </c>
      <c r="S41" s="23"/>
      <c r="T41" s="24"/>
      <c r="U41" s="23">
        <v>0</v>
      </c>
      <c r="V41" s="23">
        <f>12978432.25+98600</f>
        <v>13077032.25</v>
      </c>
      <c r="W41" s="23">
        <f t="shared" si="34"/>
        <v>-13077032.25</v>
      </c>
      <c r="X41" s="25"/>
      <c r="Y41" s="26">
        <v>3750000</v>
      </c>
      <c r="Z41" s="23">
        <f t="shared" si="35"/>
        <v>17647667.75</v>
      </c>
      <c r="AA41" s="58" t="e">
        <f t="shared" si="3"/>
        <v>#DIV/0!</v>
      </c>
      <c r="AB41" s="84">
        <f t="shared" si="4"/>
        <v>0.42561952598398034</v>
      </c>
      <c r="AC41" s="84">
        <f t="shared" si="5"/>
        <v>0.42561952598398034</v>
      </c>
      <c r="AD41" s="44"/>
    </row>
    <row r="42" spans="1:30" ht="47.45" customHeight="1">
      <c r="A42" s="80"/>
      <c r="B42" s="94" t="s">
        <v>27</v>
      </c>
      <c r="C42" s="94"/>
      <c r="D42" s="94"/>
      <c r="E42" s="94"/>
      <c r="F42" s="94"/>
      <c r="G42" s="27">
        <f t="shared" ref="G42:O42" si="36">SUM(G43:G44)</f>
        <v>3670382286.6599998</v>
      </c>
      <c r="H42" s="27">
        <f t="shared" si="36"/>
        <v>0</v>
      </c>
      <c r="I42" s="27">
        <f t="shared" si="36"/>
        <v>0</v>
      </c>
      <c r="J42" s="27">
        <f t="shared" si="36"/>
        <v>3667180352.8499999</v>
      </c>
      <c r="K42" s="27">
        <f t="shared" si="36"/>
        <v>3663012426.2799997</v>
      </c>
      <c r="L42" s="27">
        <f t="shared" si="36"/>
        <v>4167926.5700002909</v>
      </c>
      <c r="M42" s="27">
        <f t="shared" si="36"/>
        <v>0</v>
      </c>
      <c r="N42" s="27">
        <f t="shared" si="36"/>
        <v>7500000</v>
      </c>
      <c r="O42" s="27">
        <f t="shared" si="36"/>
        <v>7369860.3800002337</v>
      </c>
      <c r="P42" s="55">
        <f t="shared" si="2"/>
        <v>99.886345197973128</v>
      </c>
      <c r="Q42" s="27">
        <f t="shared" ref="Q42:R42" si="37">SUM(Q43:Q44)</f>
        <v>3733844173.8499999</v>
      </c>
      <c r="R42" s="27">
        <f t="shared" si="37"/>
        <v>3854294177.0499997</v>
      </c>
      <c r="S42" s="27">
        <f t="shared" ref="S42:Z42" si="38">SUM(S43:S44)</f>
        <v>0</v>
      </c>
      <c r="T42" s="27">
        <f t="shared" si="38"/>
        <v>0</v>
      </c>
      <c r="U42" s="27">
        <f t="shared" si="38"/>
        <v>181518240.68000001</v>
      </c>
      <c r="V42" s="27">
        <f t="shared" si="38"/>
        <v>2035502548.97</v>
      </c>
      <c r="W42" s="27">
        <f t="shared" si="38"/>
        <v>-1853984308.2900002</v>
      </c>
      <c r="X42" s="27">
        <f t="shared" si="38"/>
        <v>0</v>
      </c>
      <c r="Y42" s="27">
        <f t="shared" si="38"/>
        <v>7500000</v>
      </c>
      <c r="Z42" s="27">
        <f t="shared" si="38"/>
        <v>1818791628.0799997</v>
      </c>
      <c r="AA42" s="55">
        <f t="shared" si="3"/>
        <v>1121.3763098103204</v>
      </c>
      <c r="AB42" s="83">
        <f t="shared" si="4"/>
        <v>0.54514930302278131</v>
      </c>
      <c r="AC42" s="83">
        <f t="shared" si="5"/>
        <v>0.52811291911504621</v>
      </c>
      <c r="AD42" s="44"/>
    </row>
    <row r="43" spans="1:30" ht="21" customHeight="1">
      <c r="A43" s="80"/>
      <c r="B43" s="56"/>
      <c r="C43" s="41" t="s">
        <v>44</v>
      </c>
      <c r="D43" s="57" t="s">
        <v>5</v>
      </c>
      <c r="E43" s="39"/>
      <c r="F43" s="40"/>
      <c r="G43" s="23">
        <v>903047808.15999997</v>
      </c>
      <c r="H43" s="23"/>
      <c r="I43" s="24"/>
      <c r="J43" s="23">
        <v>903047808.15999997</v>
      </c>
      <c r="K43" s="23">
        <v>898901378.78999996</v>
      </c>
      <c r="L43" s="23">
        <f t="shared" ref="L43:L44" si="39">J43-K43</f>
        <v>4146429.3700000048</v>
      </c>
      <c r="M43" s="25"/>
      <c r="N43" s="26">
        <v>3750000</v>
      </c>
      <c r="O43" s="23">
        <f t="shared" ref="O43:O44" si="40">G43-K43</f>
        <v>4146429.3700000048</v>
      </c>
      <c r="P43" s="58">
        <f t="shared" si="2"/>
        <v>99.54084054769497</v>
      </c>
      <c r="Q43" s="23">
        <v>896490373.85000002</v>
      </c>
      <c r="R43" s="23">
        <f>115547027.19+826075038.62+5560800</f>
        <v>947182865.80999994</v>
      </c>
      <c r="S43" s="23"/>
      <c r="T43" s="24"/>
      <c r="U43" s="23">
        <v>35462397.859999999</v>
      </c>
      <c r="V43" s="23">
        <f>67470658+403825833.83+1302200</f>
        <v>472598691.82999998</v>
      </c>
      <c r="W43" s="23">
        <f t="shared" ref="W43:W44" si="41">U43-V43</f>
        <v>-437136293.96999997</v>
      </c>
      <c r="X43" s="25"/>
      <c r="Y43" s="26">
        <v>3750000</v>
      </c>
      <c r="Z43" s="23">
        <f t="shared" ref="Z43:Z44" si="42">R43-V43</f>
        <v>474584173.97999996</v>
      </c>
      <c r="AA43" s="58">
        <f t="shared" si="3"/>
        <v>1332.6755108206323</v>
      </c>
      <c r="AB43" s="84">
        <f t="shared" si="4"/>
        <v>0.52716538360631049</v>
      </c>
      <c r="AC43" s="84">
        <f t="shared" si="5"/>
        <v>0.49895190135840239</v>
      </c>
      <c r="AD43" s="44"/>
    </row>
    <row r="44" spans="1:30" ht="18.600000000000001" customHeight="1">
      <c r="A44" s="80"/>
      <c r="B44" s="56"/>
      <c r="C44" s="41" t="s">
        <v>45</v>
      </c>
      <c r="D44" s="57" t="s">
        <v>3</v>
      </c>
      <c r="E44" s="39"/>
      <c r="F44" s="40"/>
      <c r="G44" s="23">
        <v>2767334478.5</v>
      </c>
      <c r="H44" s="23"/>
      <c r="I44" s="24"/>
      <c r="J44" s="23">
        <v>2764132544.6900001</v>
      </c>
      <c r="K44" s="23">
        <v>2764111047.4899998</v>
      </c>
      <c r="L44" s="23">
        <f t="shared" si="39"/>
        <v>21497.200000286102</v>
      </c>
      <c r="M44" s="25"/>
      <c r="N44" s="26">
        <v>3750000</v>
      </c>
      <c r="O44" s="23">
        <f t="shared" si="40"/>
        <v>3223431.0100002289</v>
      </c>
      <c r="P44" s="58">
        <f t="shared" si="2"/>
        <v>99.999222280420611</v>
      </c>
      <c r="Q44" s="23">
        <v>2837353800</v>
      </c>
      <c r="R44" s="23">
        <f>140171446.24+2757153100+9786765</f>
        <v>2907111311.2399998</v>
      </c>
      <c r="S44" s="23"/>
      <c r="T44" s="24"/>
      <c r="U44" s="23">
        <f>1625842.82+141388200+3041800</f>
        <v>146055842.81999999</v>
      </c>
      <c r="V44" s="23">
        <f>56034822.5+1503959353.69+2909680.95</f>
        <v>1562903857.1400001</v>
      </c>
      <c r="W44" s="23">
        <f t="shared" si="41"/>
        <v>-1416848014.3200002</v>
      </c>
      <c r="X44" s="25"/>
      <c r="Y44" s="26">
        <v>3750000</v>
      </c>
      <c r="Z44" s="23">
        <f t="shared" si="42"/>
        <v>1344207454.0999997</v>
      </c>
      <c r="AA44" s="58">
        <f t="shared" si="3"/>
        <v>1070.0728070606058</v>
      </c>
      <c r="AB44" s="84">
        <f t="shared" si="4"/>
        <v>0.55083150262755387</v>
      </c>
      <c r="AC44" s="84">
        <f t="shared" si="5"/>
        <v>0.53761404012884484</v>
      </c>
      <c r="AD44" s="44"/>
    </row>
    <row r="45" spans="1:30" ht="49.9" customHeight="1">
      <c r="A45" s="80"/>
      <c r="B45" s="94" t="s">
        <v>26</v>
      </c>
      <c r="C45" s="94"/>
      <c r="D45" s="94"/>
      <c r="E45" s="94"/>
      <c r="F45" s="94"/>
      <c r="G45" s="27">
        <f t="shared" ref="G45:O45" si="43">SUM(G46:G48)</f>
        <v>807008393.50999999</v>
      </c>
      <c r="H45" s="27">
        <f t="shared" si="43"/>
        <v>0</v>
      </c>
      <c r="I45" s="27">
        <f t="shared" si="43"/>
        <v>0</v>
      </c>
      <c r="J45" s="27">
        <f t="shared" si="43"/>
        <v>795734557.13999999</v>
      </c>
      <c r="K45" s="27">
        <f t="shared" si="43"/>
        <v>793834556.74000001</v>
      </c>
      <c r="L45" s="27">
        <f t="shared" si="43"/>
        <v>1900000.3999999762</v>
      </c>
      <c r="M45" s="27">
        <f t="shared" si="43"/>
        <v>0</v>
      </c>
      <c r="N45" s="27">
        <f t="shared" si="43"/>
        <v>11250000</v>
      </c>
      <c r="O45" s="27">
        <f t="shared" si="43"/>
        <v>13173836.769999981</v>
      </c>
      <c r="P45" s="55">
        <f t="shared" si="2"/>
        <v>99.761226858510597</v>
      </c>
      <c r="Q45" s="27">
        <f t="shared" ref="Q45:R45" si="44">SUM(Q46:Q48)</f>
        <v>235612500</v>
      </c>
      <c r="R45" s="27">
        <f t="shared" si="44"/>
        <v>734963488.20000005</v>
      </c>
      <c r="S45" s="27">
        <f t="shared" ref="S45:Z45" si="45">SUM(S46:S48)</f>
        <v>0</v>
      </c>
      <c r="T45" s="27">
        <f t="shared" si="45"/>
        <v>0</v>
      </c>
      <c r="U45" s="27">
        <f t="shared" si="45"/>
        <v>0</v>
      </c>
      <c r="V45" s="27">
        <f t="shared" si="45"/>
        <v>365097145.5</v>
      </c>
      <c r="W45" s="27">
        <f t="shared" si="45"/>
        <v>-365097145.5</v>
      </c>
      <c r="X45" s="27">
        <f t="shared" si="45"/>
        <v>0</v>
      </c>
      <c r="Y45" s="27">
        <f t="shared" si="45"/>
        <v>11250000</v>
      </c>
      <c r="Z45" s="27">
        <f t="shared" si="45"/>
        <v>369866342.69999999</v>
      </c>
      <c r="AA45" s="55" t="e">
        <f t="shared" si="3"/>
        <v>#DIV/0!</v>
      </c>
      <c r="AB45" s="83">
        <f t="shared" si="4"/>
        <v>1.5495661117300652</v>
      </c>
      <c r="AC45" s="83">
        <f t="shared" si="5"/>
        <v>0.49675548698910182</v>
      </c>
      <c r="AD45" s="44"/>
    </row>
    <row r="46" spans="1:30" ht="13.5" customHeight="1">
      <c r="A46" s="80"/>
      <c r="B46" s="56"/>
      <c r="C46" s="41" t="s">
        <v>44</v>
      </c>
      <c r="D46" s="57" t="s">
        <v>5</v>
      </c>
      <c r="E46" s="39"/>
      <c r="F46" s="40"/>
      <c r="G46" s="23">
        <v>116039205.52</v>
      </c>
      <c r="H46" s="23"/>
      <c r="I46" s="24"/>
      <c r="J46" s="23">
        <v>116039205.52</v>
      </c>
      <c r="K46" s="23">
        <v>114139205.52</v>
      </c>
      <c r="L46" s="29">
        <f t="shared" ref="L46:L48" si="46">J46-K46</f>
        <v>1900000</v>
      </c>
      <c r="M46" s="25"/>
      <c r="N46" s="26">
        <v>3750000</v>
      </c>
      <c r="O46" s="23">
        <f t="shared" ref="O46:O48" si="47">G46-K46</f>
        <v>1900000</v>
      </c>
      <c r="P46" s="58">
        <f t="shared" si="2"/>
        <v>98.362622364152159</v>
      </c>
      <c r="Q46" s="23">
        <v>134105200</v>
      </c>
      <c r="R46" s="23">
        <f>293455085</f>
        <v>293455085</v>
      </c>
      <c r="S46" s="23"/>
      <c r="T46" s="24"/>
      <c r="U46" s="23">
        <v>0</v>
      </c>
      <c r="V46" s="23">
        <f>212465845.5</f>
        <v>212465845.5</v>
      </c>
      <c r="W46" s="23">
        <f t="shared" ref="W46:W47" si="48">U46-V46</f>
        <v>-212465845.5</v>
      </c>
      <c r="X46" s="25"/>
      <c r="Y46" s="26">
        <v>3750000</v>
      </c>
      <c r="Z46" s="23">
        <f t="shared" ref="Z46:Z47" si="49">R46-V46</f>
        <v>80989239.5</v>
      </c>
      <c r="AA46" s="58" t="e">
        <f t="shared" si="3"/>
        <v>#DIV/0!</v>
      </c>
      <c r="AB46" s="84">
        <f t="shared" si="4"/>
        <v>1.5843222000340031</v>
      </c>
      <c r="AC46" s="84">
        <f t="shared" si="5"/>
        <v>0.7240148709639842</v>
      </c>
      <c r="AD46" s="44"/>
    </row>
    <row r="47" spans="1:30" ht="18.600000000000001" customHeight="1">
      <c r="A47" s="80"/>
      <c r="B47" s="56"/>
      <c r="C47" s="41" t="s">
        <v>45</v>
      </c>
      <c r="D47" s="57" t="s">
        <v>4</v>
      </c>
      <c r="E47" s="39"/>
      <c r="F47" s="40"/>
      <c r="G47" s="23">
        <v>670505945.01999998</v>
      </c>
      <c r="H47" s="23"/>
      <c r="I47" s="24"/>
      <c r="J47" s="23">
        <v>659348780.64999998</v>
      </c>
      <c r="K47" s="23">
        <v>659348780.25</v>
      </c>
      <c r="L47" s="29">
        <f t="shared" si="46"/>
        <v>0.39999997615814209</v>
      </c>
      <c r="M47" s="25"/>
      <c r="N47" s="26">
        <v>3750000</v>
      </c>
      <c r="O47" s="23">
        <f t="shared" si="47"/>
        <v>11157164.769999981</v>
      </c>
      <c r="P47" s="58">
        <f t="shared" si="2"/>
        <v>99.999999939334089</v>
      </c>
      <c r="Q47" s="23">
        <v>97381000</v>
      </c>
      <c r="R47" s="23">
        <f>385515186.2+49880758</f>
        <v>435395944.19999999</v>
      </c>
      <c r="S47" s="23"/>
      <c r="T47" s="24"/>
      <c r="U47" s="23">
        <v>0</v>
      </c>
      <c r="V47" s="23">
        <f>129178200+20690552</f>
        <v>149868752</v>
      </c>
      <c r="W47" s="23">
        <f t="shared" si="48"/>
        <v>-149868752</v>
      </c>
      <c r="X47" s="25"/>
      <c r="Y47" s="26">
        <v>3750000</v>
      </c>
      <c r="Z47" s="23">
        <f t="shared" si="49"/>
        <v>285527192.19999999</v>
      </c>
      <c r="AA47" s="58" t="e">
        <f t="shared" si="3"/>
        <v>#DIV/0!</v>
      </c>
      <c r="AB47" s="84">
        <f t="shared" si="4"/>
        <v>1.5389937667512144</v>
      </c>
      <c r="AC47" s="84">
        <f t="shared" si="5"/>
        <v>0.34421255869842804</v>
      </c>
      <c r="AD47" s="44"/>
    </row>
    <row r="48" spans="1:30" ht="13.5" customHeight="1">
      <c r="A48" s="80"/>
      <c r="B48" s="56"/>
      <c r="C48" s="41" t="s">
        <v>46</v>
      </c>
      <c r="D48" s="57" t="s">
        <v>7</v>
      </c>
      <c r="E48" s="39"/>
      <c r="F48" s="40"/>
      <c r="G48" s="23">
        <v>20463242.969999999</v>
      </c>
      <c r="H48" s="23"/>
      <c r="I48" s="24"/>
      <c r="J48" s="23">
        <v>20346570.969999999</v>
      </c>
      <c r="K48" s="23">
        <v>20346570.969999999</v>
      </c>
      <c r="L48" s="23">
        <f t="shared" si="46"/>
        <v>0</v>
      </c>
      <c r="M48" s="25"/>
      <c r="N48" s="26">
        <v>3750000</v>
      </c>
      <c r="O48" s="23">
        <f t="shared" si="47"/>
        <v>116672</v>
      </c>
      <c r="P48" s="58">
        <f t="shared" si="2"/>
        <v>100</v>
      </c>
      <c r="Q48" s="23">
        <v>4126300</v>
      </c>
      <c r="R48" s="23">
        <f>179011+5933448</f>
        <v>6112459</v>
      </c>
      <c r="S48" s="23"/>
      <c r="T48" s="24"/>
      <c r="U48" s="23">
        <v>0</v>
      </c>
      <c r="V48" s="23">
        <v>2762548</v>
      </c>
      <c r="W48" s="23">
        <f t="shared" ref="W48" si="50">U48-V48</f>
        <v>-2762548</v>
      </c>
      <c r="X48" s="25"/>
      <c r="Y48" s="26">
        <v>3750000</v>
      </c>
      <c r="Z48" s="23">
        <f t="shared" ref="Z48" si="51">R48-V48</f>
        <v>3349911</v>
      </c>
      <c r="AA48" s="58" t="e">
        <f t="shared" si="3"/>
        <v>#DIV/0!</v>
      </c>
      <c r="AB48" s="84">
        <f t="shared" si="4"/>
        <v>0.66949761287351861</v>
      </c>
      <c r="AC48" s="84">
        <f t="shared" si="5"/>
        <v>0.45195362455600929</v>
      </c>
      <c r="AD48" s="44"/>
    </row>
    <row r="49" spans="1:30" ht="66" customHeight="1">
      <c r="A49" s="80"/>
      <c r="B49" s="94" t="s">
        <v>25</v>
      </c>
      <c r="C49" s="94"/>
      <c r="D49" s="94"/>
      <c r="E49" s="94"/>
      <c r="F49" s="94"/>
      <c r="G49" s="27">
        <f t="shared" ref="G49:O49" si="52">SUM(G50)</f>
        <v>127902501.47</v>
      </c>
      <c r="H49" s="27">
        <f t="shared" si="52"/>
        <v>0</v>
      </c>
      <c r="I49" s="27">
        <f t="shared" si="52"/>
        <v>0</v>
      </c>
      <c r="J49" s="27">
        <f t="shared" si="52"/>
        <v>127902501.47</v>
      </c>
      <c r="K49" s="27">
        <f t="shared" si="52"/>
        <v>125885856.02</v>
      </c>
      <c r="L49" s="27">
        <f t="shared" si="52"/>
        <v>2016645.450000003</v>
      </c>
      <c r="M49" s="27">
        <f t="shared" si="52"/>
        <v>0</v>
      </c>
      <c r="N49" s="27">
        <f t="shared" si="52"/>
        <v>3750000</v>
      </c>
      <c r="O49" s="27">
        <f t="shared" si="52"/>
        <v>2016645.450000003</v>
      </c>
      <c r="P49" s="55">
        <f t="shared" si="2"/>
        <v>98.423294754346131</v>
      </c>
      <c r="Q49" s="27">
        <f t="shared" ref="Q49:Z49" si="53">SUM(Q50)</f>
        <v>144494876.41</v>
      </c>
      <c r="R49" s="27">
        <f t="shared" si="53"/>
        <v>164500878.81</v>
      </c>
      <c r="S49" s="27">
        <f t="shared" si="53"/>
        <v>0</v>
      </c>
      <c r="T49" s="27">
        <f t="shared" si="53"/>
        <v>0</v>
      </c>
      <c r="U49" s="27">
        <f t="shared" si="53"/>
        <v>7844361.0700000003</v>
      </c>
      <c r="V49" s="27">
        <f t="shared" si="53"/>
        <v>88617203.420000002</v>
      </c>
      <c r="W49" s="27">
        <f t="shared" si="53"/>
        <v>-80772842.349999994</v>
      </c>
      <c r="X49" s="27">
        <f t="shared" si="53"/>
        <v>0</v>
      </c>
      <c r="Y49" s="27">
        <f t="shared" si="53"/>
        <v>3750000</v>
      </c>
      <c r="Z49" s="27">
        <f t="shared" si="53"/>
        <v>75883675.390000001</v>
      </c>
      <c r="AA49" s="55">
        <f t="shared" si="3"/>
        <v>1129.6930703369574</v>
      </c>
      <c r="AB49" s="83">
        <f t="shared" si="4"/>
        <v>0.61328958937306033</v>
      </c>
      <c r="AC49" s="83">
        <f t="shared" si="5"/>
        <v>0.53870352584774739</v>
      </c>
      <c r="AD49" s="44"/>
    </row>
    <row r="50" spans="1:30" ht="21.6" customHeight="1">
      <c r="A50" s="80"/>
      <c r="B50" s="56"/>
      <c r="C50" s="41" t="s">
        <v>44</v>
      </c>
      <c r="D50" s="57" t="s">
        <v>5</v>
      </c>
      <c r="E50" s="39"/>
      <c r="F50" s="40"/>
      <c r="G50" s="23">
        <v>127902501.47</v>
      </c>
      <c r="H50" s="23"/>
      <c r="I50" s="24"/>
      <c r="J50" s="23">
        <v>127902501.47</v>
      </c>
      <c r="K50" s="23">
        <v>125885856.02</v>
      </c>
      <c r="L50" s="23">
        <f t="shared" ref="L50" si="54">J50-K50</f>
        <v>2016645.450000003</v>
      </c>
      <c r="M50" s="25"/>
      <c r="N50" s="26">
        <v>3750000</v>
      </c>
      <c r="O50" s="23">
        <f t="shared" ref="O50" si="55">G50-K50</f>
        <v>2016645.450000003</v>
      </c>
      <c r="P50" s="58">
        <f t="shared" si="2"/>
        <v>98.423294754346131</v>
      </c>
      <c r="Q50" s="23">
        <v>144494876.41</v>
      </c>
      <c r="R50" s="23">
        <v>164500878.81</v>
      </c>
      <c r="S50" s="23"/>
      <c r="T50" s="24"/>
      <c r="U50" s="23">
        <v>7844361.0700000003</v>
      </c>
      <c r="V50" s="23">
        <v>88617203.420000002</v>
      </c>
      <c r="W50" s="23">
        <f t="shared" ref="W50" si="56">U50-V50</f>
        <v>-80772842.349999994</v>
      </c>
      <c r="X50" s="25"/>
      <c r="Y50" s="26">
        <v>3750000</v>
      </c>
      <c r="Z50" s="23">
        <f t="shared" ref="Z50" si="57">R50-V50</f>
        <v>75883675.390000001</v>
      </c>
      <c r="AA50" s="58">
        <f t="shared" si="3"/>
        <v>1129.6930703369574</v>
      </c>
      <c r="AB50" s="84">
        <f t="shared" si="4"/>
        <v>0.61328958937306033</v>
      </c>
      <c r="AC50" s="84">
        <f t="shared" si="5"/>
        <v>0.53870352584774739</v>
      </c>
      <c r="AD50" s="44"/>
    </row>
    <row r="51" spans="1:30" ht="65.45" customHeight="1">
      <c r="A51" s="80"/>
      <c r="B51" s="94" t="s">
        <v>24</v>
      </c>
      <c r="C51" s="94"/>
      <c r="D51" s="94"/>
      <c r="E51" s="94"/>
      <c r="F51" s="94"/>
      <c r="G51" s="27">
        <f t="shared" ref="G51:O51" si="58">SUM(G52:G53)</f>
        <v>88997040.209999993</v>
      </c>
      <c r="H51" s="27">
        <f t="shared" si="58"/>
        <v>0</v>
      </c>
      <c r="I51" s="27">
        <f t="shared" si="58"/>
        <v>0</v>
      </c>
      <c r="J51" s="27">
        <f t="shared" si="58"/>
        <v>88816317.030000001</v>
      </c>
      <c r="K51" s="27">
        <f t="shared" si="58"/>
        <v>88814421.75</v>
      </c>
      <c r="L51" s="27">
        <f t="shared" si="58"/>
        <v>1895.2800000049174</v>
      </c>
      <c r="M51" s="27">
        <f t="shared" si="58"/>
        <v>0</v>
      </c>
      <c r="N51" s="27">
        <f t="shared" si="58"/>
        <v>7500000</v>
      </c>
      <c r="O51" s="27">
        <f t="shared" si="58"/>
        <v>182618.4599999981</v>
      </c>
      <c r="P51" s="55">
        <f t="shared" si="2"/>
        <v>99.997866067786447</v>
      </c>
      <c r="Q51" s="27">
        <f t="shared" ref="Q51:R51" si="59">SUM(Q52:Q53)</f>
        <v>20208474.899999999</v>
      </c>
      <c r="R51" s="27">
        <f t="shared" si="59"/>
        <v>10786374.9</v>
      </c>
      <c r="S51" s="27">
        <f t="shared" ref="S51:Z51" si="60">SUM(S52:S53)</f>
        <v>0</v>
      </c>
      <c r="T51" s="27">
        <f t="shared" si="60"/>
        <v>0</v>
      </c>
      <c r="U51" s="27">
        <f t="shared" si="60"/>
        <v>3003980.81</v>
      </c>
      <c r="V51" s="27">
        <f t="shared" si="60"/>
        <v>3003980.81</v>
      </c>
      <c r="W51" s="27">
        <f t="shared" si="60"/>
        <v>0</v>
      </c>
      <c r="X51" s="27">
        <f t="shared" si="60"/>
        <v>0</v>
      </c>
      <c r="Y51" s="27">
        <f t="shared" si="60"/>
        <v>7500000</v>
      </c>
      <c r="Z51" s="27">
        <f t="shared" si="60"/>
        <v>7782394.0899999999</v>
      </c>
      <c r="AA51" s="55">
        <f t="shared" si="3"/>
        <v>100</v>
      </c>
      <c r="AB51" s="83">
        <f t="shared" si="4"/>
        <v>0.14864955543973288</v>
      </c>
      <c r="AC51" s="83">
        <f t="shared" si="5"/>
        <v>0.27849771937743423</v>
      </c>
      <c r="AD51" s="44"/>
    </row>
    <row r="52" spans="1:30" ht="13.5" customHeight="1">
      <c r="A52" s="80"/>
      <c r="B52" s="56"/>
      <c r="C52" s="41" t="s">
        <v>44</v>
      </c>
      <c r="D52" s="57" t="s">
        <v>5</v>
      </c>
      <c r="E52" s="39"/>
      <c r="F52" s="40"/>
      <c r="G52" s="23">
        <v>6432640.21</v>
      </c>
      <c r="H52" s="23"/>
      <c r="I52" s="24"/>
      <c r="J52" s="23">
        <v>6432637.4900000002</v>
      </c>
      <c r="K52" s="23">
        <v>6430742.3300000001</v>
      </c>
      <c r="L52" s="23">
        <f t="shared" ref="L52:L53" si="61">J52-K52</f>
        <v>1895.160000000149</v>
      </c>
      <c r="M52" s="30"/>
      <c r="N52" s="23">
        <v>3750000</v>
      </c>
      <c r="O52" s="23">
        <f t="shared" ref="O52:O53" si="62">G52-K52</f>
        <v>1897.8799999998882</v>
      </c>
      <c r="P52" s="58">
        <f t="shared" si="2"/>
        <v>99.97053836776989</v>
      </c>
      <c r="Q52" s="23">
        <v>10786374.9</v>
      </c>
      <c r="R52" s="23">
        <v>10786374.9</v>
      </c>
      <c r="S52" s="23"/>
      <c r="T52" s="24"/>
      <c r="U52" s="23">
        <v>3003980.81</v>
      </c>
      <c r="V52" s="23">
        <v>3003980.81</v>
      </c>
      <c r="W52" s="23">
        <f t="shared" ref="W52:W53" si="63">U52-V52</f>
        <v>0</v>
      </c>
      <c r="X52" s="25"/>
      <c r="Y52" s="26">
        <v>3750000</v>
      </c>
      <c r="Z52" s="23">
        <f t="shared" ref="Z52:Z53" si="64">R52-V52</f>
        <v>7782394.0899999999</v>
      </c>
      <c r="AA52" s="58">
        <f t="shared" si="3"/>
        <v>100</v>
      </c>
      <c r="AB52" s="84">
        <f t="shared" si="4"/>
        <v>0.27849771937743423</v>
      </c>
      <c r="AC52" s="84">
        <f t="shared" si="5"/>
        <v>0.27849771937743423</v>
      </c>
      <c r="AD52" s="44"/>
    </row>
    <row r="53" spans="1:30" ht="18.600000000000001" customHeight="1">
      <c r="A53" s="80"/>
      <c r="B53" s="56"/>
      <c r="C53" s="41" t="s">
        <v>45</v>
      </c>
      <c r="D53" s="57" t="s">
        <v>4</v>
      </c>
      <c r="E53" s="39"/>
      <c r="F53" s="40"/>
      <c r="G53" s="23">
        <v>82564400</v>
      </c>
      <c r="H53" s="23"/>
      <c r="I53" s="24"/>
      <c r="J53" s="23">
        <v>82383679.540000007</v>
      </c>
      <c r="K53" s="23">
        <v>82383679.420000002</v>
      </c>
      <c r="L53" s="23">
        <f t="shared" si="61"/>
        <v>0.12000000476837158</v>
      </c>
      <c r="M53" s="25"/>
      <c r="N53" s="26">
        <v>3750000</v>
      </c>
      <c r="O53" s="23">
        <f t="shared" si="62"/>
        <v>180720.57999999821</v>
      </c>
      <c r="P53" s="58">
        <f t="shared" si="2"/>
        <v>99.999999854340075</v>
      </c>
      <c r="Q53" s="23">
        <v>9422100</v>
      </c>
      <c r="R53" s="23">
        <v>0</v>
      </c>
      <c r="S53" s="23"/>
      <c r="T53" s="24"/>
      <c r="U53" s="23">
        <v>0</v>
      </c>
      <c r="V53" s="23">
        <v>0</v>
      </c>
      <c r="W53" s="23">
        <f t="shared" si="63"/>
        <v>0</v>
      </c>
      <c r="X53" s="25"/>
      <c r="Y53" s="26">
        <v>3750000</v>
      </c>
      <c r="Z53" s="23">
        <f t="shared" si="64"/>
        <v>0</v>
      </c>
      <c r="AA53" s="58" t="e">
        <f t="shared" si="3"/>
        <v>#DIV/0!</v>
      </c>
      <c r="AB53" s="84">
        <f t="shared" si="4"/>
        <v>0</v>
      </c>
      <c r="AC53" s="84" t="e">
        <f t="shared" si="5"/>
        <v>#DIV/0!</v>
      </c>
      <c r="AD53" s="44"/>
    </row>
    <row r="54" spans="1:30" ht="57" customHeight="1">
      <c r="A54" s="80"/>
      <c r="B54" s="94" t="s">
        <v>23</v>
      </c>
      <c r="C54" s="94"/>
      <c r="D54" s="94"/>
      <c r="E54" s="94"/>
      <c r="F54" s="94"/>
      <c r="G54" s="27">
        <f t="shared" ref="G54:O54" si="65">SUM(G55:G58)</f>
        <v>811351128.16000009</v>
      </c>
      <c r="H54" s="27">
        <f t="shared" si="65"/>
        <v>0</v>
      </c>
      <c r="I54" s="27">
        <f t="shared" si="65"/>
        <v>0</v>
      </c>
      <c r="J54" s="27">
        <f t="shared" si="65"/>
        <v>783787523.79999995</v>
      </c>
      <c r="K54" s="27">
        <f t="shared" si="65"/>
        <v>760692939.38</v>
      </c>
      <c r="L54" s="27">
        <f t="shared" si="65"/>
        <v>23094584.419999957</v>
      </c>
      <c r="M54" s="27">
        <f t="shared" si="65"/>
        <v>0</v>
      </c>
      <c r="N54" s="27">
        <f t="shared" si="65"/>
        <v>15000000</v>
      </c>
      <c r="O54" s="27">
        <f t="shared" si="65"/>
        <v>50658188.780000001</v>
      </c>
      <c r="P54" s="55">
        <f t="shared" si="2"/>
        <v>97.053463634119666</v>
      </c>
      <c r="Q54" s="27">
        <v>592335021.55999994</v>
      </c>
      <c r="R54" s="27">
        <f t="shared" ref="R54" si="66">SUM(R55:R58)</f>
        <v>706929938.12</v>
      </c>
      <c r="S54" s="27">
        <f t="shared" ref="S54:Z54" si="67">SUM(S55:S58)</f>
        <v>0</v>
      </c>
      <c r="T54" s="27">
        <f t="shared" si="67"/>
        <v>0</v>
      </c>
      <c r="U54" s="27">
        <f t="shared" si="67"/>
        <v>26851541.530000001</v>
      </c>
      <c r="V54" s="27">
        <f t="shared" si="67"/>
        <v>340930556.95000005</v>
      </c>
      <c r="W54" s="27">
        <f t="shared" si="67"/>
        <v>-314079015.42000002</v>
      </c>
      <c r="X54" s="27">
        <f t="shared" si="67"/>
        <v>0</v>
      </c>
      <c r="Y54" s="27">
        <f t="shared" si="67"/>
        <v>15000000</v>
      </c>
      <c r="Z54" s="27">
        <f t="shared" si="67"/>
        <v>365999381.16999996</v>
      </c>
      <c r="AA54" s="55">
        <f t="shared" si="3"/>
        <v>1269.687092523511</v>
      </c>
      <c r="AB54" s="83">
        <f t="shared" si="4"/>
        <v>0.57557048720859039</v>
      </c>
      <c r="AC54" s="83">
        <f t="shared" si="5"/>
        <v>0.48226923004090927</v>
      </c>
      <c r="AD54" s="44"/>
    </row>
    <row r="55" spans="1:30" ht="18.600000000000001" customHeight="1">
      <c r="A55" s="80"/>
      <c r="B55" s="56"/>
      <c r="C55" s="41" t="s">
        <v>44</v>
      </c>
      <c r="D55" s="57" t="s">
        <v>5</v>
      </c>
      <c r="E55" s="39"/>
      <c r="F55" s="40"/>
      <c r="G55" s="23">
        <v>612769852.22000003</v>
      </c>
      <c r="H55" s="23"/>
      <c r="I55" s="24"/>
      <c r="J55" s="23">
        <v>586409079.39999998</v>
      </c>
      <c r="K55" s="23">
        <v>585170456.09000003</v>
      </c>
      <c r="L55" s="23">
        <f t="shared" ref="L55:L58" si="68">J55-K55</f>
        <v>1238623.3099999428</v>
      </c>
      <c r="M55" s="25"/>
      <c r="N55" s="26">
        <v>3750000</v>
      </c>
      <c r="O55" s="23">
        <f t="shared" ref="O55:O58" si="69">G55-K55</f>
        <v>27599396.129999995</v>
      </c>
      <c r="P55" s="58">
        <f t="shared" si="2"/>
        <v>99.788778285754503</v>
      </c>
      <c r="Q55" s="23">
        <v>533855921.56</v>
      </c>
      <c r="R55" s="23">
        <f>8152943.49+624939294.63</f>
        <v>633092238.12</v>
      </c>
      <c r="S55" s="23"/>
      <c r="T55" s="24"/>
      <c r="U55" s="23">
        <v>26851541.530000001</v>
      </c>
      <c r="V55" s="23">
        <f>4035934.49+317964640.16</f>
        <v>322000574.65000004</v>
      </c>
      <c r="W55" s="23">
        <f t="shared" ref="W55:W58" si="70">U55-V55</f>
        <v>-295149033.12</v>
      </c>
      <c r="X55" s="25"/>
      <c r="Y55" s="26">
        <v>3750000</v>
      </c>
      <c r="Z55" s="23">
        <f t="shared" ref="Z55:Z58" si="71">R55-V55</f>
        <v>311091663.46999997</v>
      </c>
      <c r="AA55" s="58">
        <f t="shared" si="3"/>
        <v>1199.1884126661537</v>
      </c>
      <c r="AB55" s="84">
        <f t="shared" si="4"/>
        <v>0.60316006931059285</v>
      </c>
      <c r="AC55" s="84">
        <f t="shared" si="5"/>
        <v>0.50861557804941238</v>
      </c>
      <c r="AD55" s="44"/>
    </row>
    <row r="56" spans="1:30" ht="13.5" customHeight="1">
      <c r="A56" s="80"/>
      <c r="B56" s="56"/>
      <c r="C56" s="41" t="s">
        <v>46</v>
      </c>
      <c r="D56" s="57" t="s">
        <v>22</v>
      </c>
      <c r="E56" s="39"/>
      <c r="F56" s="40"/>
      <c r="G56" s="23">
        <v>0</v>
      </c>
      <c r="H56" s="23"/>
      <c r="I56" s="24"/>
      <c r="J56" s="23">
        <v>0</v>
      </c>
      <c r="K56" s="23">
        <v>0</v>
      </c>
      <c r="L56" s="23">
        <f t="shared" si="68"/>
        <v>0</v>
      </c>
      <c r="M56" s="25"/>
      <c r="N56" s="26">
        <v>3750000</v>
      </c>
      <c r="O56" s="23">
        <f t="shared" si="69"/>
        <v>0</v>
      </c>
      <c r="P56" s="58">
        <v>0</v>
      </c>
      <c r="Q56" s="23">
        <v>5826000</v>
      </c>
      <c r="R56" s="23">
        <v>5826000</v>
      </c>
      <c r="S56" s="23"/>
      <c r="T56" s="24"/>
      <c r="U56" s="23">
        <v>0</v>
      </c>
      <c r="V56" s="23">
        <v>0</v>
      </c>
      <c r="W56" s="23">
        <f t="shared" si="70"/>
        <v>0</v>
      </c>
      <c r="X56" s="25"/>
      <c r="Y56" s="26">
        <v>3750000</v>
      </c>
      <c r="Z56" s="23">
        <f t="shared" si="71"/>
        <v>5826000</v>
      </c>
      <c r="AA56" s="58" t="e">
        <f t="shared" si="3"/>
        <v>#DIV/0!</v>
      </c>
      <c r="AB56" s="84">
        <f t="shared" si="4"/>
        <v>0</v>
      </c>
      <c r="AC56" s="84">
        <f t="shared" si="5"/>
        <v>0</v>
      </c>
      <c r="AD56" s="44"/>
    </row>
    <row r="57" spans="1:30" ht="18.600000000000001" customHeight="1">
      <c r="A57" s="80"/>
      <c r="B57" s="56"/>
      <c r="C57" s="41" t="s">
        <v>45</v>
      </c>
      <c r="D57" s="57" t="s">
        <v>3</v>
      </c>
      <c r="E57" s="39"/>
      <c r="F57" s="40"/>
      <c r="G57" s="23">
        <v>198581275.94</v>
      </c>
      <c r="H57" s="23"/>
      <c r="I57" s="24"/>
      <c r="J57" s="23">
        <v>197378444.40000001</v>
      </c>
      <c r="K57" s="23">
        <v>175522483.28999999</v>
      </c>
      <c r="L57" s="23">
        <f t="shared" si="68"/>
        <v>21855961.110000014</v>
      </c>
      <c r="M57" s="25"/>
      <c r="N57" s="26">
        <v>3750000</v>
      </c>
      <c r="O57" s="23">
        <f t="shared" si="69"/>
        <v>23058792.650000006</v>
      </c>
      <c r="P57" s="58">
        <f t="shared" si="2"/>
        <v>88.926875385790609</v>
      </c>
      <c r="Q57" s="23">
        <v>52653100</v>
      </c>
      <c r="R57" s="23">
        <f>28663800+39059100+288800</f>
        <v>68011700</v>
      </c>
      <c r="S57" s="23"/>
      <c r="T57" s="24"/>
      <c r="U57" s="23">
        <v>0</v>
      </c>
      <c r="V57" s="23">
        <f>18869055.43+60926.87</f>
        <v>18929982.300000001</v>
      </c>
      <c r="W57" s="23">
        <f t="shared" si="70"/>
        <v>-18929982.300000001</v>
      </c>
      <c r="X57" s="25"/>
      <c r="Y57" s="26">
        <v>3750000</v>
      </c>
      <c r="Z57" s="23">
        <f t="shared" si="71"/>
        <v>49081717.700000003</v>
      </c>
      <c r="AA57" s="58" t="e">
        <f t="shared" si="3"/>
        <v>#DIV/0!</v>
      </c>
      <c r="AB57" s="84">
        <f t="shared" si="4"/>
        <v>0.35952265488641694</v>
      </c>
      <c r="AC57" s="84">
        <f t="shared" si="5"/>
        <v>0.2783342027915785</v>
      </c>
      <c r="AD57" s="44"/>
    </row>
    <row r="58" spans="1:30" ht="18.600000000000001" hidden="1" customHeight="1">
      <c r="A58" s="80"/>
      <c r="B58" s="56"/>
      <c r="C58" s="41" t="s">
        <v>47</v>
      </c>
      <c r="D58" s="57" t="s">
        <v>21</v>
      </c>
      <c r="E58" s="39"/>
      <c r="F58" s="40"/>
      <c r="G58" s="23">
        <v>0</v>
      </c>
      <c r="H58" s="23"/>
      <c r="I58" s="24"/>
      <c r="J58" s="23">
        <v>0</v>
      </c>
      <c r="K58" s="23">
        <v>0</v>
      </c>
      <c r="L58" s="23">
        <f t="shared" si="68"/>
        <v>0</v>
      </c>
      <c r="M58" s="25"/>
      <c r="N58" s="26">
        <v>3750000</v>
      </c>
      <c r="O58" s="23">
        <f t="shared" si="69"/>
        <v>0</v>
      </c>
      <c r="P58" s="58">
        <v>0</v>
      </c>
      <c r="Q58" s="23"/>
      <c r="R58" s="23"/>
      <c r="S58" s="23"/>
      <c r="T58" s="24"/>
      <c r="U58" s="23"/>
      <c r="V58" s="23"/>
      <c r="W58" s="23">
        <f t="shared" si="70"/>
        <v>0</v>
      </c>
      <c r="X58" s="25"/>
      <c r="Y58" s="26">
        <v>3750000</v>
      </c>
      <c r="Z58" s="23">
        <f t="shared" si="71"/>
        <v>0</v>
      </c>
      <c r="AA58" s="58" t="e">
        <f t="shared" si="3"/>
        <v>#DIV/0!</v>
      </c>
      <c r="AB58" s="83" t="e">
        <f t="shared" si="4"/>
        <v>#DIV/0!</v>
      </c>
      <c r="AC58" s="83" t="e">
        <f t="shared" si="5"/>
        <v>#DIV/0!</v>
      </c>
      <c r="AD58" s="44"/>
    </row>
    <row r="59" spans="1:30" ht="53.45" customHeight="1">
      <c r="A59" s="80"/>
      <c r="B59" s="94" t="s">
        <v>20</v>
      </c>
      <c r="C59" s="94"/>
      <c r="D59" s="94"/>
      <c r="E59" s="94"/>
      <c r="F59" s="94"/>
      <c r="G59" s="27">
        <f t="shared" ref="G59:O59" si="72">SUM(G60:G61)</f>
        <v>454545500</v>
      </c>
      <c r="H59" s="27">
        <f t="shared" si="72"/>
        <v>0</v>
      </c>
      <c r="I59" s="27">
        <f t="shared" si="72"/>
        <v>0</v>
      </c>
      <c r="J59" s="27">
        <f t="shared" si="72"/>
        <v>454545425.44999999</v>
      </c>
      <c r="K59" s="27">
        <f t="shared" si="72"/>
        <v>454540906.87</v>
      </c>
      <c r="L59" s="27">
        <f t="shared" si="72"/>
        <v>4518.5800000000745</v>
      </c>
      <c r="M59" s="27">
        <f t="shared" si="72"/>
        <v>0</v>
      </c>
      <c r="N59" s="27">
        <f t="shared" si="72"/>
        <v>7500000</v>
      </c>
      <c r="O59" s="27">
        <f t="shared" si="72"/>
        <v>4593.1299999998882</v>
      </c>
      <c r="P59" s="55">
        <f t="shared" si="2"/>
        <v>99.999005912336372</v>
      </c>
      <c r="Q59" s="27">
        <f t="shared" ref="Q59" si="73">SUM(Q60:Q61)</f>
        <v>454545454.55000001</v>
      </c>
      <c r="R59" s="27">
        <f t="shared" ref="R59" si="74">SUM(R60:R61)</f>
        <v>454545454.55000001</v>
      </c>
      <c r="S59" s="27">
        <f t="shared" ref="S59:Z59" si="75">SUM(S60:S61)</f>
        <v>0</v>
      </c>
      <c r="T59" s="27">
        <f t="shared" si="75"/>
        <v>0</v>
      </c>
      <c r="U59" s="27">
        <f t="shared" si="75"/>
        <v>0</v>
      </c>
      <c r="V59" s="27">
        <f t="shared" ref="V59" si="76">SUM(V60:V61)</f>
        <v>254206362.86000001</v>
      </c>
      <c r="W59" s="27">
        <f t="shared" si="75"/>
        <v>-254206362.86000001</v>
      </c>
      <c r="X59" s="27">
        <f t="shared" si="75"/>
        <v>0</v>
      </c>
      <c r="Y59" s="27">
        <f t="shared" si="75"/>
        <v>7500000</v>
      </c>
      <c r="Z59" s="27">
        <f t="shared" si="75"/>
        <v>200339091.69</v>
      </c>
      <c r="AA59" s="55" t="e">
        <f t="shared" si="3"/>
        <v>#DIV/0!</v>
      </c>
      <c r="AB59" s="83">
        <f t="shared" si="4"/>
        <v>0.55925399828640743</v>
      </c>
      <c r="AC59" s="83">
        <f t="shared" si="5"/>
        <v>0.55925399828640743</v>
      </c>
      <c r="AD59" s="44"/>
    </row>
    <row r="60" spans="1:30" ht="18.600000000000001" customHeight="1">
      <c r="A60" s="80"/>
      <c r="B60" s="56"/>
      <c r="C60" s="41" t="s">
        <v>44</v>
      </c>
      <c r="D60" s="57" t="s">
        <v>5</v>
      </c>
      <c r="E60" s="39"/>
      <c r="F60" s="40"/>
      <c r="G60" s="23">
        <v>4545500</v>
      </c>
      <c r="H60" s="23"/>
      <c r="I60" s="24"/>
      <c r="J60" s="23">
        <v>4545425.45</v>
      </c>
      <c r="K60" s="23">
        <v>4545418.37</v>
      </c>
      <c r="L60" s="23">
        <f t="shared" ref="L60:L61" si="77">J60-K60</f>
        <v>7.0800000000745058</v>
      </c>
      <c r="M60" s="25"/>
      <c r="N60" s="26">
        <v>3750000</v>
      </c>
      <c r="O60" s="23">
        <f t="shared" ref="O60:O61" si="78">G60-K60</f>
        <v>81.629999999888241</v>
      </c>
      <c r="P60" s="58">
        <f t="shared" si="2"/>
        <v>99.999844239002982</v>
      </c>
      <c r="Q60" s="23">
        <v>4545454.55</v>
      </c>
      <c r="R60" s="23">
        <v>4545454.55</v>
      </c>
      <c r="S60" s="23"/>
      <c r="T60" s="24"/>
      <c r="U60" s="23">
        <v>0</v>
      </c>
      <c r="V60" s="23">
        <v>2542063.62</v>
      </c>
      <c r="W60" s="23">
        <f t="shared" ref="W60:W61" si="79">U60-V60</f>
        <v>-2542063.62</v>
      </c>
      <c r="X60" s="25"/>
      <c r="Y60" s="26">
        <v>3750000</v>
      </c>
      <c r="Z60" s="23">
        <f t="shared" ref="Z60:Z61" si="80">R60-V60</f>
        <v>2003390.9299999997</v>
      </c>
      <c r="AA60" s="58" t="e">
        <f t="shared" si="3"/>
        <v>#DIV/0!</v>
      </c>
      <c r="AB60" s="84">
        <f t="shared" si="4"/>
        <v>0.55925399584074609</v>
      </c>
      <c r="AC60" s="84">
        <f t="shared" si="5"/>
        <v>0.55925399584074609</v>
      </c>
      <c r="AD60" s="44"/>
    </row>
    <row r="61" spans="1:30" ht="18.600000000000001" customHeight="1">
      <c r="A61" s="80"/>
      <c r="B61" s="56"/>
      <c r="C61" s="41" t="s">
        <v>45</v>
      </c>
      <c r="D61" s="57" t="s">
        <v>4</v>
      </c>
      <c r="E61" s="39"/>
      <c r="F61" s="40"/>
      <c r="G61" s="23">
        <v>450000000</v>
      </c>
      <c r="H61" s="23"/>
      <c r="I61" s="24"/>
      <c r="J61" s="23">
        <v>450000000</v>
      </c>
      <c r="K61" s="23">
        <v>449995488.5</v>
      </c>
      <c r="L61" s="23">
        <f t="shared" si="77"/>
        <v>4511.5</v>
      </c>
      <c r="M61" s="25"/>
      <c r="N61" s="26">
        <v>3750000</v>
      </c>
      <c r="O61" s="23">
        <f t="shared" si="78"/>
        <v>4511.5</v>
      </c>
      <c r="P61" s="58">
        <f t="shared" si="2"/>
        <v>99.998997444444456</v>
      </c>
      <c r="Q61" s="23">
        <v>450000000</v>
      </c>
      <c r="R61" s="23">
        <v>450000000</v>
      </c>
      <c r="S61" s="23"/>
      <c r="T61" s="24"/>
      <c r="U61" s="23">
        <v>0</v>
      </c>
      <c r="V61" s="23">
        <v>251664299.24000001</v>
      </c>
      <c r="W61" s="23">
        <f t="shared" si="79"/>
        <v>-251664299.24000001</v>
      </c>
      <c r="X61" s="25"/>
      <c r="Y61" s="26">
        <v>3750000</v>
      </c>
      <c r="Z61" s="23">
        <f t="shared" si="80"/>
        <v>198335700.75999999</v>
      </c>
      <c r="AA61" s="58" t="e">
        <f t="shared" si="3"/>
        <v>#DIV/0!</v>
      </c>
      <c r="AB61" s="84">
        <f t="shared" si="4"/>
        <v>0.55925399831111111</v>
      </c>
      <c r="AC61" s="84">
        <f t="shared" si="5"/>
        <v>0.55925399831111111</v>
      </c>
      <c r="AD61" s="44"/>
    </row>
    <row r="62" spans="1:30" ht="42.6" customHeight="1">
      <c r="A62" s="80"/>
      <c r="B62" s="94" t="s">
        <v>19</v>
      </c>
      <c r="C62" s="94"/>
      <c r="D62" s="94"/>
      <c r="E62" s="94"/>
      <c r="F62" s="94"/>
      <c r="G62" s="27">
        <f t="shared" ref="G62:O62" si="81">SUM(G63)</f>
        <v>83715483.439999998</v>
      </c>
      <c r="H62" s="27">
        <f t="shared" si="81"/>
        <v>0</v>
      </c>
      <c r="I62" s="27">
        <f t="shared" si="81"/>
        <v>0</v>
      </c>
      <c r="J62" s="27">
        <f t="shared" si="81"/>
        <v>78945367.439999998</v>
      </c>
      <c r="K62" s="27">
        <f t="shared" si="81"/>
        <v>78891198.140000001</v>
      </c>
      <c r="L62" s="27">
        <f t="shared" si="81"/>
        <v>54169.29999999702</v>
      </c>
      <c r="M62" s="27">
        <f t="shared" si="81"/>
        <v>0</v>
      </c>
      <c r="N62" s="27">
        <f t="shared" si="81"/>
        <v>3750000</v>
      </c>
      <c r="O62" s="27">
        <f t="shared" si="81"/>
        <v>4824285.299999997</v>
      </c>
      <c r="P62" s="55">
        <f t="shared" si="2"/>
        <v>99.931383814203954</v>
      </c>
      <c r="Q62" s="27">
        <f t="shared" ref="Q62:Z62" si="82">SUM(Q63)</f>
        <v>163182275</v>
      </c>
      <c r="R62" s="27">
        <f t="shared" si="82"/>
        <v>133808956.04000001</v>
      </c>
      <c r="S62" s="27">
        <f t="shared" si="82"/>
        <v>0</v>
      </c>
      <c r="T62" s="27">
        <f t="shared" si="82"/>
        <v>0</v>
      </c>
      <c r="U62" s="27">
        <f t="shared" si="82"/>
        <v>4992127.26</v>
      </c>
      <c r="V62" s="27">
        <f t="shared" si="82"/>
        <v>38341479.369999997</v>
      </c>
      <c r="W62" s="27">
        <f t="shared" si="82"/>
        <v>-33349352.109999999</v>
      </c>
      <c r="X62" s="27">
        <f t="shared" si="82"/>
        <v>0</v>
      </c>
      <c r="Y62" s="27">
        <f t="shared" si="82"/>
        <v>3750000</v>
      </c>
      <c r="Z62" s="27">
        <f t="shared" si="82"/>
        <v>95467476.670000017</v>
      </c>
      <c r="AA62" s="55">
        <f t="shared" si="3"/>
        <v>768.03890151630469</v>
      </c>
      <c r="AB62" s="83">
        <f t="shared" si="4"/>
        <v>0.23496105425665867</v>
      </c>
      <c r="AC62" s="83">
        <f t="shared" si="5"/>
        <v>0.28653896199996087</v>
      </c>
      <c r="AD62" s="44"/>
    </row>
    <row r="63" spans="1:30" ht="27" customHeight="1">
      <c r="A63" s="80"/>
      <c r="B63" s="56"/>
      <c r="C63" s="41" t="s">
        <v>44</v>
      </c>
      <c r="D63" s="57" t="s">
        <v>5</v>
      </c>
      <c r="E63" s="39"/>
      <c r="F63" s="40"/>
      <c r="G63" s="23">
        <v>83715483.439999998</v>
      </c>
      <c r="H63" s="23"/>
      <c r="I63" s="24"/>
      <c r="J63" s="23">
        <v>78945367.439999998</v>
      </c>
      <c r="K63" s="23">
        <v>78891198.140000001</v>
      </c>
      <c r="L63" s="23">
        <f t="shared" ref="L63" si="83">J63-K63</f>
        <v>54169.29999999702</v>
      </c>
      <c r="M63" s="25"/>
      <c r="N63" s="26">
        <v>3750000</v>
      </c>
      <c r="O63" s="23">
        <f t="shared" ref="O63" si="84">G63-K63</f>
        <v>4824285.299999997</v>
      </c>
      <c r="P63" s="58">
        <f t="shared" si="2"/>
        <v>99.931383814203954</v>
      </c>
      <c r="Q63" s="23">
        <v>163182275</v>
      </c>
      <c r="R63" s="23">
        <v>133808956.04000001</v>
      </c>
      <c r="S63" s="23"/>
      <c r="T63" s="24"/>
      <c r="U63" s="23">
        <v>4992127.26</v>
      </c>
      <c r="V63" s="23">
        <v>38341479.369999997</v>
      </c>
      <c r="W63" s="23">
        <f t="shared" ref="W63" si="85">U63-V63</f>
        <v>-33349352.109999999</v>
      </c>
      <c r="X63" s="25"/>
      <c r="Y63" s="26">
        <v>3750000</v>
      </c>
      <c r="Z63" s="23">
        <f t="shared" ref="Z63" si="86">R63-V63</f>
        <v>95467476.670000017</v>
      </c>
      <c r="AA63" s="58">
        <f t="shared" si="3"/>
        <v>768.03890151630469</v>
      </c>
      <c r="AB63" s="84">
        <f t="shared" si="4"/>
        <v>0.23496105425665867</v>
      </c>
      <c r="AC63" s="84">
        <f t="shared" si="5"/>
        <v>0.28653896199996087</v>
      </c>
      <c r="AD63" s="44"/>
    </row>
    <row r="64" spans="1:30" ht="45.6" customHeight="1">
      <c r="A64" s="80"/>
      <c r="B64" s="94" t="s">
        <v>18</v>
      </c>
      <c r="C64" s="94"/>
      <c r="D64" s="94"/>
      <c r="E64" s="94"/>
      <c r="F64" s="94"/>
      <c r="G64" s="27">
        <f t="shared" ref="G64:O64" si="87">SUM(G65:G66)</f>
        <v>298365110.63999999</v>
      </c>
      <c r="H64" s="27">
        <f t="shared" si="87"/>
        <v>0</v>
      </c>
      <c r="I64" s="27">
        <f t="shared" si="87"/>
        <v>0</v>
      </c>
      <c r="J64" s="27">
        <f t="shared" si="87"/>
        <v>298364986.57999998</v>
      </c>
      <c r="K64" s="27">
        <f t="shared" si="87"/>
        <v>296030987.60000002</v>
      </c>
      <c r="L64" s="27">
        <f t="shared" si="87"/>
        <v>2333998.9800000042</v>
      </c>
      <c r="M64" s="27">
        <f t="shared" si="87"/>
        <v>0</v>
      </c>
      <c r="N64" s="27">
        <f t="shared" si="87"/>
        <v>7500000</v>
      </c>
      <c r="O64" s="27">
        <f t="shared" si="87"/>
        <v>2334123.0400000066</v>
      </c>
      <c r="P64" s="55">
        <f t="shared" si="2"/>
        <v>99.217736971501466</v>
      </c>
      <c r="Q64" s="27">
        <f t="shared" ref="Q64" si="88">SUM(Q65:Q66)</f>
        <v>191024307.5</v>
      </c>
      <c r="R64" s="27">
        <f t="shared" ref="R64" si="89">SUM(R65:R66)</f>
        <v>191024307.5</v>
      </c>
      <c r="S64" s="27">
        <f t="shared" ref="S64:Z64" si="90">SUM(S65:S66)</f>
        <v>0</v>
      </c>
      <c r="T64" s="27">
        <f t="shared" si="90"/>
        <v>0</v>
      </c>
      <c r="U64" s="27">
        <f t="shared" si="90"/>
        <v>458078.39</v>
      </c>
      <c r="V64" s="27">
        <f t="shared" ref="V64" si="91">SUM(V65:V66)</f>
        <v>45878658.520000003</v>
      </c>
      <c r="W64" s="27">
        <f t="shared" si="90"/>
        <v>-45420580.130000003</v>
      </c>
      <c r="X64" s="27">
        <f t="shared" si="90"/>
        <v>0</v>
      </c>
      <c r="Y64" s="27">
        <f t="shared" si="90"/>
        <v>7500000</v>
      </c>
      <c r="Z64" s="27">
        <f t="shared" si="90"/>
        <v>145145648.97999999</v>
      </c>
      <c r="AA64" s="55">
        <f t="shared" si="3"/>
        <v>10015.460131179731</v>
      </c>
      <c r="AB64" s="83">
        <f t="shared" si="4"/>
        <v>0.24017183530425834</v>
      </c>
      <c r="AC64" s="83">
        <f t="shared" si="5"/>
        <v>0.24017183530425834</v>
      </c>
      <c r="AD64" s="44"/>
    </row>
    <row r="65" spans="1:30" ht="18" customHeight="1">
      <c r="A65" s="80"/>
      <c r="B65" s="56"/>
      <c r="C65" s="41" t="s">
        <v>44</v>
      </c>
      <c r="D65" s="57" t="s">
        <v>5</v>
      </c>
      <c r="E65" s="39"/>
      <c r="F65" s="40"/>
      <c r="G65" s="23">
        <v>97396886.579999998</v>
      </c>
      <c r="H65" s="23"/>
      <c r="I65" s="24"/>
      <c r="J65" s="23">
        <v>97396886.579999998</v>
      </c>
      <c r="K65" s="23">
        <v>95062887.599999994</v>
      </c>
      <c r="L65" s="23">
        <f t="shared" ref="L65:L66" si="92">J65-K65</f>
        <v>2333998.9800000042</v>
      </c>
      <c r="M65" s="25"/>
      <c r="N65" s="26">
        <v>3750000</v>
      </c>
      <c r="O65" s="23">
        <f t="shared" ref="O65:O66" si="93">G65-K65</f>
        <v>2333998.9800000042</v>
      </c>
      <c r="P65" s="58">
        <f t="shared" si="2"/>
        <v>97.603620544807768</v>
      </c>
      <c r="Q65" s="23">
        <v>116196907.5</v>
      </c>
      <c r="R65" s="23">
        <v>116196907.5</v>
      </c>
      <c r="S65" s="23"/>
      <c r="T65" s="24"/>
      <c r="U65" s="23">
        <v>458078.39</v>
      </c>
      <c r="V65" s="23">
        <v>45878658.520000003</v>
      </c>
      <c r="W65" s="23">
        <f t="shared" ref="W65:W66" si="94">U65-V65</f>
        <v>-45420580.130000003</v>
      </c>
      <c r="X65" s="25"/>
      <c r="Y65" s="26">
        <v>3750000</v>
      </c>
      <c r="Z65" s="23">
        <f t="shared" ref="Z65:Z66" si="95">R65-V65</f>
        <v>70318248.979999989</v>
      </c>
      <c r="AA65" s="58">
        <f t="shared" si="3"/>
        <v>10015.460131179731</v>
      </c>
      <c r="AB65" s="84">
        <f t="shared" si="4"/>
        <v>0.39483545222578326</v>
      </c>
      <c r="AC65" s="84">
        <f t="shared" si="5"/>
        <v>0.39483545222578326</v>
      </c>
      <c r="AD65" s="44"/>
    </row>
    <row r="66" spans="1:30" ht="18.600000000000001" customHeight="1">
      <c r="A66" s="80"/>
      <c r="B66" s="56"/>
      <c r="C66" s="41" t="s">
        <v>45</v>
      </c>
      <c r="D66" s="57" t="s">
        <v>4</v>
      </c>
      <c r="E66" s="39"/>
      <c r="F66" s="40"/>
      <c r="G66" s="23">
        <v>200968224.06</v>
      </c>
      <c r="H66" s="23"/>
      <c r="I66" s="24"/>
      <c r="J66" s="23">
        <v>200968100</v>
      </c>
      <c r="K66" s="23">
        <v>200968100</v>
      </c>
      <c r="L66" s="23">
        <f t="shared" si="92"/>
        <v>0</v>
      </c>
      <c r="M66" s="25"/>
      <c r="N66" s="26">
        <v>3750000</v>
      </c>
      <c r="O66" s="23">
        <f t="shared" si="93"/>
        <v>124.06000000238419</v>
      </c>
      <c r="P66" s="58">
        <f t="shared" si="2"/>
        <v>100</v>
      </c>
      <c r="Q66" s="23">
        <v>74827400</v>
      </c>
      <c r="R66" s="23">
        <v>74827400</v>
      </c>
      <c r="S66" s="23"/>
      <c r="T66" s="24"/>
      <c r="U66" s="23">
        <v>0</v>
      </c>
      <c r="V66" s="23">
        <v>0</v>
      </c>
      <c r="W66" s="23">
        <f t="shared" si="94"/>
        <v>0</v>
      </c>
      <c r="X66" s="25"/>
      <c r="Y66" s="26">
        <v>3750000</v>
      </c>
      <c r="Z66" s="23">
        <f t="shared" si="95"/>
        <v>74827400</v>
      </c>
      <c r="AA66" s="58" t="e">
        <f t="shared" si="3"/>
        <v>#DIV/0!</v>
      </c>
      <c r="AB66" s="84">
        <f t="shared" si="4"/>
        <v>0</v>
      </c>
      <c r="AC66" s="84">
        <f t="shared" si="5"/>
        <v>0</v>
      </c>
      <c r="AD66" s="44"/>
    </row>
    <row r="67" spans="1:30" ht="43.15" customHeight="1">
      <c r="A67" s="80"/>
      <c r="B67" s="94" t="s">
        <v>17</v>
      </c>
      <c r="C67" s="94"/>
      <c r="D67" s="94"/>
      <c r="E67" s="94"/>
      <c r="F67" s="94"/>
      <c r="G67" s="27">
        <f t="shared" ref="G67:O67" si="96">SUM(G68)</f>
        <v>11759805.23</v>
      </c>
      <c r="H67" s="27">
        <f t="shared" si="96"/>
        <v>0</v>
      </c>
      <c r="I67" s="27">
        <f t="shared" si="96"/>
        <v>0</v>
      </c>
      <c r="J67" s="27">
        <f t="shared" si="96"/>
        <v>11759772.23</v>
      </c>
      <c r="K67" s="27">
        <f t="shared" si="96"/>
        <v>11306858.6</v>
      </c>
      <c r="L67" s="27">
        <f t="shared" si="96"/>
        <v>452913.63000000082</v>
      </c>
      <c r="M67" s="27">
        <f t="shared" si="96"/>
        <v>0</v>
      </c>
      <c r="N67" s="27">
        <f t="shared" si="96"/>
        <v>3750000</v>
      </c>
      <c r="O67" s="27">
        <f t="shared" si="96"/>
        <v>452946.63000000082</v>
      </c>
      <c r="P67" s="55">
        <f t="shared" si="2"/>
        <v>96.148619028142519</v>
      </c>
      <c r="Q67" s="27">
        <f>SUM(Q68:Q69)</f>
        <v>10010000</v>
      </c>
      <c r="R67" s="27">
        <f>SUM(R68:T69)</f>
        <v>10510000</v>
      </c>
      <c r="S67" s="27">
        <f t="shared" ref="S67:AA67" si="97">SUM(S68:S69)</f>
        <v>0</v>
      </c>
      <c r="T67" s="27">
        <f t="shared" si="97"/>
        <v>0</v>
      </c>
      <c r="U67" s="27">
        <f t="shared" si="97"/>
        <v>3505226.48</v>
      </c>
      <c r="V67" s="27">
        <f t="shared" ref="V67" si="98">SUM(V68:V69)</f>
        <v>3505226.48</v>
      </c>
      <c r="W67" s="27">
        <f t="shared" si="97"/>
        <v>0</v>
      </c>
      <c r="X67" s="27">
        <f t="shared" si="97"/>
        <v>0</v>
      </c>
      <c r="Y67" s="27">
        <f t="shared" si="97"/>
        <v>3750000</v>
      </c>
      <c r="Z67" s="27">
        <f t="shared" si="97"/>
        <v>6504773.5199999996</v>
      </c>
      <c r="AA67" s="27">
        <f t="shared" si="97"/>
        <v>100</v>
      </c>
      <c r="AB67" s="83">
        <f t="shared" si="4"/>
        <v>0.3501724755244755</v>
      </c>
      <c r="AC67" s="83">
        <f t="shared" si="5"/>
        <v>0.33351346146527117</v>
      </c>
      <c r="AD67" s="44"/>
    </row>
    <row r="68" spans="1:30" ht="21.6" customHeight="1">
      <c r="A68" s="80"/>
      <c r="B68" s="56"/>
      <c r="C68" s="41" t="s">
        <v>44</v>
      </c>
      <c r="D68" s="57" t="s">
        <v>5</v>
      </c>
      <c r="E68" s="39"/>
      <c r="F68" s="40"/>
      <c r="G68" s="23">
        <v>11759805.23</v>
      </c>
      <c r="H68" s="23"/>
      <c r="I68" s="24"/>
      <c r="J68" s="23">
        <v>11759772.23</v>
      </c>
      <c r="K68" s="23">
        <v>11306858.6</v>
      </c>
      <c r="L68" s="23">
        <f t="shared" ref="L68" si="99">J68-K68</f>
        <v>452913.63000000082</v>
      </c>
      <c r="M68" s="25"/>
      <c r="N68" s="26">
        <v>3750000</v>
      </c>
      <c r="O68" s="23">
        <f t="shared" ref="O68" si="100">G68-K68</f>
        <v>452946.63000000082</v>
      </c>
      <c r="P68" s="58">
        <f t="shared" si="2"/>
        <v>96.148619028142519</v>
      </c>
      <c r="Q68" s="23">
        <v>10010000</v>
      </c>
      <c r="R68" s="23">
        <v>10010000</v>
      </c>
      <c r="S68" s="23"/>
      <c r="T68" s="24"/>
      <c r="U68" s="23">
        <v>3505226.48</v>
      </c>
      <c r="V68" s="23">
        <v>3505226.48</v>
      </c>
      <c r="W68" s="23">
        <f t="shared" ref="W68" si="101">U68-V68</f>
        <v>0</v>
      </c>
      <c r="X68" s="25"/>
      <c r="Y68" s="26">
        <v>3750000</v>
      </c>
      <c r="Z68" s="23">
        <f t="shared" ref="Z68" si="102">R68-V68</f>
        <v>6504773.5199999996</v>
      </c>
      <c r="AA68" s="58">
        <f t="shared" si="3"/>
        <v>100</v>
      </c>
      <c r="AB68" s="84">
        <f t="shared" si="4"/>
        <v>0.3501724755244755</v>
      </c>
      <c r="AC68" s="84">
        <f t="shared" si="5"/>
        <v>0.3501724755244755</v>
      </c>
      <c r="AD68" s="44"/>
    </row>
    <row r="69" spans="1:30" ht="21.6" customHeight="1">
      <c r="A69" s="80"/>
      <c r="B69" s="56"/>
      <c r="C69" s="41" t="s">
        <v>45</v>
      </c>
      <c r="D69" s="57"/>
      <c r="E69" s="39"/>
      <c r="F69" s="40"/>
      <c r="G69" s="23"/>
      <c r="H69" s="23"/>
      <c r="I69" s="24"/>
      <c r="J69" s="23"/>
      <c r="K69" s="23"/>
      <c r="L69" s="23"/>
      <c r="M69" s="25"/>
      <c r="N69" s="26"/>
      <c r="O69" s="23"/>
      <c r="P69" s="58"/>
      <c r="Q69" s="23">
        <v>0</v>
      </c>
      <c r="R69" s="23">
        <v>500000</v>
      </c>
      <c r="S69" s="23"/>
      <c r="T69" s="24"/>
      <c r="U69" s="23"/>
      <c r="V69" s="23">
        <v>0</v>
      </c>
      <c r="W69" s="23"/>
      <c r="X69" s="25"/>
      <c r="Y69" s="26"/>
      <c r="Z69" s="23"/>
      <c r="AA69" s="58"/>
      <c r="AB69" s="84" t="e">
        <f t="shared" ref="AB69" si="103">V69/Q69</f>
        <v>#DIV/0!</v>
      </c>
      <c r="AC69" s="84">
        <f t="shared" ref="AC69" si="104">V69/R69</f>
        <v>0</v>
      </c>
      <c r="AD69" s="44"/>
    </row>
    <row r="70" spans="1:30" ht="58.9" customHeight="1">
      <c r="A70" s="80"/>
      <c r="B70" s="94" t="s">
        <v>16</v>
      </c>
      <c r="C70" s="94"/>
      <c r="D70" s="94"/>
      <c r="E70" s="94"/>
      <c r="F70" s="94"/>
      <c r="G70" s="27">
        <f t="shared" ref="G70:O70" si="105">SUM(G71)</f>
        <v>2362500</v>
      </c>
      <c r="H70" s="27">
        <f t="shared" si="105"/>
        <v>0</v>
      </c>
      <c r="I70" s="27">
        <f t="shared" si="105"/>
        <v>0</v>
      </c>
      <c r="J70" s="27">
        <f t="shared" si="105"/>
        <v>2328961.2999999998</v>
      </c>
      <c r="K70" s="27">
        <f t="shared" si="105"/>
        <v>2328961.2999999998</v>
      </c>
      <c r="L70" s="27">
        <f t="shared" si="105"/>
        <v>0</v>
      </c>
      <c r="M70" s="27">
        <f t="shared" si="105"/>
        <v>0</v>
      </c>
      <c r="N70" s="27">
        <f t="shared" si="105"/>
        <v>3750000</v>
      </c>
      <c r="O70" s="27">
        <f t="shared" si="105"/>
        <v>33538.700000000186</v>
      </c>
      <c r="P70" s="55">
        <f t="shared" si="2"/>
        <v>100</v>
      </c>
      <c r="Q70" s="27">
        <f t="shared" ref="Q70:Z70" si="106">SUM(Q71)</f>
        <v>4013536.45</v>
      </c>
      <c r="R70" s="27">
        <f t="shared" si="106"/>
        <v>4013536.45</v>
      </c>
      <c r="S70" s="27">
        <f t="shared" si="106"/>
        <v>0</v>
      </c>
      <c r="T70" s="27">
        <f t="shared" si="106"/>
        <v>0</v>
      </c>
      <c r="U70" s="27">
        <f t="shared" si="106"/>
        <v>896192.5</v>
      </c>
      <c r="V70" s="27">
        <f t="shared" si="106"/>
        <v>896192.5</v>
      </c>
      <c r="W70" s="27">
        <f t="shared" si="106"/>
        <v>0</v>
      </c>
      <c r="X70" s="27">
        <f t="shared" si="106"/>
        <v>0</v>
      </c>
      <c r="Y70" s="27">
        <f t="shared" si="106"/>
        <v>3750000</v>
      </c>
      <c r="Z70" s="27">
        <f t="shared" si="106"/>
        <v>3117343.95</v>
      </c>
      <c r="AA70" s="55">
        <f t="shared" si="3"/>
        <v>100</v>
      </c>
      <c r="AB70" s="83">
        <f t="shared" si="4"/>
        <v>0.22329247813359213</v>
      </c>
      <c r="AC70" s="83">
        <f t="shared" si="5"/>
        <v>0.22329247813359213</v>
      </c>
      <c r="AD70" s="44"/>
    </row>
    <row r="71" spans="1:30" ht="24.6" customHeight="1">
      <c r="A71" s="80"/>
      <c r="B71" s="56"/>
      <c r="C71" s="41" t="s">
        <v>44</v>
      </c>
      <c r="D71" s="57" t="s">
        <v>5</v>
      </c>
      <c r="E71" s="39"/>
      <c r="F71" s="40"/>
      <c r="G71" s="23">
        <v>2362500</v>
      </c>
      <c r="H71" s="23"/>
      <c r="I71" s="24"/>
      <c r="J71" s="23">
        <v>2328961.2999999998</v>
      </c>
      <c r="K71" s="23">
        <v>2328961.2999999998</v>
      </c>
      <c r="L71" s="23">
        <f t="shared" ref="L71" si="107">J71-K71</f>
        <v>0</v>
      </c>
      <c r="M71" s="25"/>
      <c r="N71" s="26">
        <v>3750000</v>
      </c>
      <c r="O71" s="23">
        <f t="shared" ref="O71" si="108">G71-K71</f>
        <v>33538.700000000186</v>
      </c>
      <c r="P71" s="58">
        <f t="shared" si="2"/>
        <v>100</v>
      </c>
      <c r="Q71" s="23">
        <v>4013536.45</v>
      </c>
      <c r="R71" s="23">
        <v>4013536.45</v>
      </c>
      <c r="S71" s="23"/>
      <c r="T71" s="24"/>
      <c r="U71" s="23">
        <v>896192.5</v>
      </c>
      <c r="V71" s="23">
        <v>896192.5</v>
      </c>
      <c r="W71" s="23">
        <f t="shared" ref="W71" si="109">U71-V71</f>
        <v>0</v>
      </c>
      <c r="X71" s="25"/>
      <c r="Y71" s="26">
        <v>3750000</v>
      </c>
      <c r="Z71" s="23">
        <f t="shared" ref="Z71" si="110">R71-V71</f>
        <v>3117343.95</v>
      </c>
      <c r="AA71" s="58">
        <f t="shared" si="3"/>
        <v>100</v>
      </c>
      <c r="AB71" s="84">
        <f t="shared" si="4"/>
        <v>0.22329247813359213</v>
      </c>
      <c r="AC71" s="84">
        <f t="shared" si="5"/>
        <v>0.22329247813359213</v>
      </c>
      <c r="AD71" s="44"/>
    </row>
    <row r="72" spans="1:30" ht="35.25" customHeight="1">
      <c r="A72" s="80"/>
      <c r="B72" s="94" t="s">
        <v>15</v>
      </c>
      <c r="C72" s="94"/>
      <c r="D72" s="94"/>
      <c r="E72" s="94"/>
      <c r="F72" s="94"/>
      <c r="G72" s="27">
        <f t="shared" ref="G72:O72" si="111">SUM(G73)</f>
        <v>15804051.199999999</v>
      </c>
      <c r="H72" s="27">
        <f t="shared" si="111"/>
        <v>0</v>
      </c>
      <c r="I72" s="27">
        <f t="shared" si="111"/>
        <v>0</v>
      </c>
      <c r="J72" s="27">
        <f t="shared" si="111"/>
        <v>15804051.199999999</v>
      </c>
      <c r="K72" s="27">
        <f t="shared" si="111"/>
        <v>15793778.52</v>
      </c>
      <c r="L72" s="27">
        <f t="shared" si="111"/>
        <v>10272.679999999702</v>
      </c>
      <c r="M72" s="27">
        <f t="shared" si="111"/>
        <v>0</v>
      </c>
      <c r="N72" s="27">
        <f t="shared" si="111"/>
        <v>3750000</v>
      </c>
      <c r="O72" s="27">
        <f t="shared" si="111"/>
        <v>10272.679999999702</v>
      </c>
      <c r="P72" s="55">
        <f t="shared" si="2"/>
        <v>99.934999704379607</v>
      </c>
      <c r="Q72" s="27">
        <f t="shared" ref="Q72:Z72" si="112">SUM(Q73)</f>
        <v>16283952.74</v>
      </c>
      <c r="R72" s="27">
        <f t="shared" si="112"/>
        <v>17594952.739999998</v>
      </c>
      <c r="S72" s="27">
        <f t="shared" si="112"/>
        <v>0</v>
      </c>
      <c r="T72" s="27">
        <f t="shared" si="112"/>
        <v>0</v>
      </c>
      <c r="U72" s="27">
        <f t="shared" si="112"/>
        <v>3422239</v>
      </c>
      <c r="V72" s="27">
        <f t="shared" si="112"/>
        <v>9052396.1999999993</v>
      </c>
      <c r="W72" s="27">
        <f t="shared" si="112"/>
        <v>-5630157.1999999993</v>
      </c>
      <c r="X72" s="27">
        <f t="shared" si="112"/>
        <v>0</v>
      </c>
      <c r="Y72" s="27">
        <f t="shared" si="112"/>
        <v>3750000</v>
      </c>
      <c r="Z72" s="27">
        <f t="shared" si="112"/>
        <v>8542556.5399999991</v>
      </c>
      <c r="AA72" s="55">
        <f t="shared" si="3"/>
        <v>264.51677395997183</v>
      </c>
      <c r="AB72" s="83">
        <f t="shared" si="4"/>
        <v>0.55590901942153381</v>
      </c>
      <c r="AC72" s="83">
        <f t="shared" si="5"/>
        <v>0.51448823613038019</v>
      </c>
      <c r="AD72" s="44"/>
    </row>
    <row r="73" spans="1:30" ht="19.5" customHeight="1">
      <c r="A73" s="80"/>
      <c r="B73" s="56"/>
      <c r="C73" s="41" t="s">
        <v>44</v>
      </c>
      <c r="D73" s="57" t="s">
        <v>5</v>
      </c>
      <c r="E73" s="39"/>
      <c r="F73" s="40"/>
      <c r="G73" s="23">
        <v>15804051.199999999</v>
      </c>
      <c r="H73" s="23"/>
      <c r="I73" s="24"/>
      <c r="J73" s="23">
        <v>15804051.199999999</v>
      </c>
      <c r="K73" s="23">
        <v>15793778.52</v>
      </c>
      <c r="L73" s="23">
        <f t="shared" ref="L73" si="113">J73-K73</f>
        <v>10272.679999999702</v>
      </c>
      <c r="M73" s="25"/>
      <c r="N73" s="26">
        <v>3750000</v>
      </c>
      <c r="O73" s="23">
        <f t="shared" ref="O73" si="114">G73-K73</f>
        <v>10272.679999999702</v>
      </c>
      <c r="P73" s="58">
        <f t="shared" si="2"/>
        <v>99.934999704379607</v>
      </c>
      <c r="Q73" s="23">
        <v>16283952.74</v>
      </c>
      <c r="R73" s="23">
        <v>17594952.739999998</v>
      </c>
      <c r="S73" s="23"/>
      <c r="T73" s="24"/>
      <c r="U73" s="23">
        <v>3422239</v>
      </c>
      <c r="V73" s="23">
        <v>9052396.1999999993</v>
      </c>
      <c r="W73" s="23">
        <f t="shared" ref="W73" si="115">U73-V73</f>
        <v>-5630157.1999999993</v>
      </c>
      <c r="X73" s="25"/>
      <c r="Y73" s="26">
        <v>3750000</v>
      </c>
      <c r="Z73" s="23">
        <f t="shared" ref="Z73" si="116">R73-V73</f>
        <v>8542556.5399999991</v>
      </c>
      <c r="AA73" s="58">
        <f t="shared" si="3"/>
        <v>264.51677395997183</v>
      </c>
      <c r="AB73" s="84">
        <f t="shared" si="4"/>
        <v>0.55590901942153381</v>
      </c>
      <c r="AC73" s="84">
        <f t="shared" si="5"/>
        <v>0.51448823613038019</v>
      </c>
      <c r="AD73" s="44"/>
    </row>
    <row r="74" spans="1:30" ht="39" customHeight="1">
      <c r="A74" s="80"/>
      <c r="B74" s="94" t="s">
        <v>14</v>
      </c>
      <c r="C74" s="94"/>
      <c r="D74" s="94"/>
      <c r="E74" s="94"/>
      <c r="F74" s="94"/>
      <c r="G74" s="27">
        <f t="shared" ref="G74:O74" si="117">SUM(G75)</f>
        <v>42355240</v>
      </c>
      <c r="H74" s="27">
        <f t="shared" si="117"/>
        <v>0</v>
      </c>
      <c r="I74" s="27">
        <f t="shared" si="117"/>
        <v>0</v>
      </c>
      <c r="J74" s="27">
        <f t="shared" si="117"/>
        <v>42355240</v>
      </c>
      <c r="K74" s="27">
        <f t="shared" si="117"/>
        <v>41862779.289999999</v>
      </c>
      <c r="L74" s="27">
        <f t="shared" si="117"/>
        <v>492460.71000000089</v>
      </c>
      <c r="M74" s="27">
        <f t="shared" si="117"/>
        <v>0</v>
      </c>
      <c r="N74" s="27">
        <f t="shared" si="117"/>
        <v>3750000</v>
      </c>
      <c r="O74" s="27">
        <f t="shared" si="117"/>
        <v>492460.71000000089</v>
      </c>
      <c r="P74" s="55">
        <f t="shared" si="2"/>
        <v>98.837308654135825</v>
      </c>
      <c r="Q74" s="27">
        <f t="shared" ref="Q74:Z74" si="118">SUM(Q75)</f>
        <v>41520340.32</v>
      </c>
      <c r="R74" s="27">
        <f t="shared" si="118"/>
        <v>43520340.32</v>
      </c>
      <c r="S74" s="27">
        <f t="shared" si="118"/>
        <v>0</v>
      </c>
      <c r="T74" s="27">
        <f t="shared" si="118"/>
        <v>0</v>
      </c>
      <c r="U74" s="27">
        <f t="shared" si="118"/>
        <v>1305786</v>
      </c>
      <c r="V74" s="27">
        <f t="shared" si="118"/>
        <v>18856861.140000001</v>
      </c>
      <c r="W74" s="27">
        <f t="shared" si="118"/>
        <v>-17551075.140000001</v>
      </c>
      <c r="X74" s="27">
        <f t="shared" si="118"/>
        <v>0</v>
      </c>
      <c r="Y74" s="27">
        <f t="shared" si="118"/>
        <v>3750000</v>
      </c>
      <c r="Z74" s="27">
        <f t="shared" si="118"/>
        <v>24663479.18</v>
      </c>
      <c r="AA74" s="55">
        <f t="shared" si="3"/>
        <v>1444.1004222744002</v>
      </c>
      <c r="AB74" s="83">
        <f t="shared" si="4"/>
        <v>0.45415959972073755</v>
      </c>
      <c r="AC74" s="83">
        <f t="shared" si="5"/>
        <v>0.43328845779577307</v>
      </c>
      <c r="AD74" s="44"/>
    </row>
    <row r="75" spans="1:30" ht="18" customHeight="1">
      <c r="A75" s="80"/>
      <c r="B75" s="56"/>
      <c r="C75" s="41" t="s">
        <v>44</v>
      </c>
      <c r="D75" s="57" t="s">
        <v>5</v>
      </c>
      <c r="E75" s="39"/>
      <c r="F75" s="40"/>
      <c r="G75" s="23">
        <v>42355240</v>
      </c>
      <c r="H75" s="23"/>
      <c r="I75" s="24"/>
      <c r="J75" s="23">
        <v>42355240</v>
      </c>
      <c r="K75" s="23">
        <v>41862779.289999999</v>
      </c>
      <c r="L75" s="23">
        <f t="shared" ref="L75" si="119">J75-K75</f>
        <v>492460.71000000089</v>
      </c>
      <c r="M75" s="25"/>
      <c r="N75" s="26">
        <v>3750000</v>
      </c>
      <c r="O75" s="23">
        <f t="shared" ref="O75" si="120">G75-K75</f>
        <v>492460.71000000089</v>
      </c>
      <c r="P75" s="58">
        <f t="shared" si="2"/>
        <v>98.837308654135825</v>
      </c>
      <c r="Q75" s="23">
        <v>41520340.32</v>
      </c>
      <c r="R75" s="23">
        <v>43520340.32</v>
      </c>
      <c r="S75" s="23"/>
      <c r="T75" s="24"/>
      <c r="U75" s="23">
        <v>1305786</v>
      </c>
      <c r="V75" s="23">
        <v>18856861.140000001</v>
      </c>
      <c r="W75" s="23">
        <f t="shared" ref="W75" si="121">U75-V75</f>
        <v>-17551075.140000001</v>
      </c>
      <c r="X75" s="25"/>
      <c r="Y75" s="26">
        <v>3750000</v>
      </c>
      <c r="Z75" s="23">
        <f t="shared" ref="Z75" si="122">R75-V75</f>
        <v>24663479.18</v>
      </c>
      <c r="AA75" s="58">
        <f t="shared" si="3"/>
        <v>1444.1004222744002</v>
      </c>
      <c r="AB75" s="84">
        <f t="shared" si="4"/>
        <v>0.45415959972073755</v>
      </c>
      <c r="AC75" s="84">
        <f t="shared" si="5"/>
        <v>0.43328845779577307</v>
      </c>
      <c r="AD75" s="44"/>
    </row>
    <row r="76" spans="1:30" ht="52.5" customHeight="1">
      <c r="A76" s="80"/>
      <c r="B76" s="94" t="s">
        <v>13</v>
      </c>
      <c r="C76" s="94"/>
      <c r="D76" s="94"/>
      <c r="E76" s="94"/>
      <c r="F76" s="94"/>
      <c r="G76" s="27">
        <f t="shared" ref="G76:O76" si="123">SUM(G77)</f>
        <v>98365380.409999996</v>
      </c>
      <c r="H76" s="27">
        <f t="shared" si="123"/>
        <v>0</v>
      </c>
      <c r="I76" s="27">
        <f t="shared" si="123"/>
        <v>0</v>
      </c>
      <c r="J76" s="27">
        <f t="shared" si="123"/>
        <v>98365380.409999996</v>
      </c>
      <c r="K76" s="27">
        <f t="shared" si="123"/>
        <v>96044635.799999997</v>
      </c>
      <c r="L76" s="27">
        <f t="shared" si="123"/>
        <v>2320744.6099999994</v>
      </c>
      <c r="M76" s="27">
        <f t="shared" si="123"/>
        <v>0</v>
      </c>
      <c r="N76" s="27">
        <f t="shared" si="123"/>
        <v>3750000</v>
      </c>
      <c r="O76" s="27">
        <f t="shared" si="123"/>
        <v>2320744.6099999994</v>
      </c>
      <c r="P76" s="55">
        <f t="shared" si="2"/>
        <v>97.640689640677607</v>
      </c>
      <c r="Q76" s="27">
        <f t="shared" ref="Q76:Z76" si="124">SUM(Q77)</f>
        <v>104300332.69</v>
      </c>
      <c r="R76" s="27">
        <f t="shared" si="124"/>
        <v>104300332.69</v>
      </c>
      <c r="S76" s="27">
        <f t="shared" si="124"/>
        <v>0</v>
      </c>
      <c r="T76" s="27">
        <f t="shared" si="124"/>
        <v>0</v>
      </c>
      <c r="U76" s="27">
        <f t="shared" si="124"/>
        <v>8174470.3200000003</v>
      </c>
      <c r="V76" s="27">
        <f t="shared" si="124"/>
        <v>49947875.100000001</v>
      </c>
      <c r="W76" s="27">
        <f t="shared" si="124"/>
        <v>-41773404.780000001</v>
      </c>
      <c r="X76" s="27">
        <f t="shared" si="124"/>
        <v>0</v>
      </c>
      <c r="Y76" s="27">
        <f t="shared" si="124"/>
        <v>3750000</v>
      </c>
      <c r="Z76" s="27">
        <f t="shared" si="124"/>
        <v>54352457.589999996</v>
      </c>
      <c r="AA76" s="55">
        <f t="shared" si="3"/>
        <v>611.02277144239486</v>
      </c>
      <c r="AB76" s="83">
        <f t="shared" si="4"/>
        <v>0.47888509855912331</v>
      </c>
      <c r="AC76" s="83">
        <f t="shared" si="5"/>
        <v>0.47888509855912331</v>
      </c>
      <c r="AD76" s="44"/>
    </row>
    <row r="77" spans="1:30" ht="17.25" customHeight="1">
      <c r="A77" s="80"/>
      <c r="B77" s="56"/>
      <c r="C77" s="41" t="s">
        <v>44</v>
      </c>
      <c r="D77" s="57" t="s">
        <v>5</v>
      </c>
      <c r="E77" s="39"/>
      <c r="F77" s="40"/>
      <c r="G77" s="23">
        <v>98365380.409999996</v>
      </c>
      <c r="H77" s="23"/>
      <c r="I77" s="24"/>
      <c r="J77" s="23">
        <v>98365380.409999996</v>
      </c>
      <c r="K77" s="23">
        <v>96044635.799999997</v>
      </c>
      <c r="L77" s="23">
        <f t="shared" ref="L77" si="125">J77-K77</f>
        <v>2320744.6099999994</v>
      </c>
      <c r="M77" s="25"/>
      <c r="N77" s="26">
        <v>3750000</v>
      </c>
      <c r="O77" s="23">
        <f t="shared" ref="O77" si="126">G77-K77</f>
        <v>2320744.6099999994</v>
      </c>
      <c r="P77" s="58">
        <f t="shared" si="2"/>
        <v>97.640689640677607</v>
      </c>
      <c r="Q77" s="23">
        <v>104300332.69</v>
      </c>
      <c r="R77" s="23">
        <v>104300332.69</v>
      </c>
      <c r="S77" s="23"/>
      <c r="T77" s="24"/>
      <c r="U77" s="23">
        <v>8174470.3200000003</v>
      </c>
      <c r="V77" s="23">
        <v>49947875.100000001</v>
      </c>
      <c r="W77" s="23">
        <f t="shared" ref="W77" si="127">U77-V77</f>
        <v>-41773404.780000001</v>
      </c>
      <c r="X77" s="25"/>
      <c r="Y77" s="26">
        <v>3750000</v>
      </c>
      <c r="Z77" s="23">
        <f t="shared" ref="Z77" si="128">R77-V77</f>
        <v>54352457.589999996</v>
      </c>
      <c r="AA77" s="58">
        <f t="shared" si="3"/>
        <v>611.02277144239486</v>
      </c>
      <c r="AB77" s="84">
        <f t="shared" si="4"/>
        <v>0.47888509855912331</v>
      </c>
      <c r="AC77" s="84">
        <f t="shared" si="5"/>
        <v>0.47888509855912331</v>
      </c>
      <c r="AD77" s="44"/>
    </row>
    <row r="78" spans="1:30" ht="39.75" customHeight="1">
      <c r="A78" s="80"/>
      <c r="B78" s="94" t="s">
        <v>12</v>
      </c>
      <c r="C78" s="94"/>
      <c r="D78" s="94"/>
      <c r="E78" s="94"/>
      <c r="F78" s="94"/>
      <c r="G78" s="27">
        <f t="shared" ref="G78:O78" si="129">SUM(G79)</f>
        <v>81546967.420000002</v>
      </c>
      <c r="H78" s="27">
        <f t="shared" si="129"/>
        <v>0</v>
      </c>
      <c r="I78" s="27">
        <f t="shared" si="129"/>
        <v>0</v>
      </c>
      <c r="J78" s="27">
        <f t="shared" si="129"/>
        <v>81546967.420000002</v>
      </c>
      <c r="K78" s="27">
        <f t="shared" si="129"/>
        <v>79893840.420000002</v>
      </c>
      <c r="L78" s="27">
        <f t="shared" si="129"/>
        <v>1653127</v>
      </c>
      <c r="M78" s="27">
        <f t="shared" si="129"/>
        <v>0</v>
      </c>
      <c r="N78" s="27">
        <f t="shared" si="129"/>
        <v>3750000</v>
      </c>
      <c r="O78" s="27">
        <f t="shared" si="129"/>
        <v>1653127</v>
      </c>
      <c r="P78" s="55">
        <f t="shared" si="2"/>
        <v>97.972791567483171</v>
      </c>
      <c r="Q78" s="27">
        <f t="shared" ref="Q78:Z78" si="130">SUM(Q79)</f>
        <v>89248831.489999995</v>
      </c>
      <c r="R78" s="27">
        <f t="shared" si="130"/>
        <v>91348831.489999995</v>
      </c>
      <c r="S78" s="27">
        <f t="shared" si="130"/>
        <v>0</v>
      </c>
      <c r="T78" s="27">
        <f t="shared" si="130"/>
        <v>0</v>
      </c>
      <c r="U78" s="27">
        <f t="shared" si="130"/>
        <v>4348508.75</v>
      </c>
      <c r="V78" s="27">
        <f t="shared" si="130"/>
        <v>40433875.43</v>
      </c>
      <c r="W78" s="27">
        <f t="shared" si="130"/>
        <v>-36085366.68</v>
      </c>
      <c r="X78" s="27">
        <f t="shared" si="130"/>
        <v>0</v>
      </c>
      <c r="Y78" s="27">
        <f t="shared" si="130"/>
        <v>3750000</v>
      </c>
      <c r="Z78" s="27">
        <f t="shared" si="130"/>
        <v>50914956.059999995</v>
      </c>
      <c r="AA78" s="55">
        <f t="shared" si="3"/>
        <v>929.83313946418991</v>
      </c>
      <c r="AB78" s="83">
        <f t="shared" si="4"/>
        <v>0.45304655259862386</v>
      </c>
      <c r="AC78" s="83">
        <f t="shared" si="5"/>
        <v>0.44263155609632859</v>
      </c>
      <c r="AD78" s="44"/>
    </row>
    <row r="79" spans="1:30" ht="19.5" customHeight="1">
      <c r="A79" s="80"/>
      <c r="B79" s="56"/>
      <c r="C79" s="41" t="s">
        <v>44</v>
      </c>
      <c r="D79" s="57" t="s">
        <v>5</v>
      </c>
      <c r="E79" s="39"/>
      <c r="F79" s="40"/>
      <c r="G79" s="23">
        <v>81546967.420000002</v>
      </c>
      <c r="H79" s="23"/>
      <c r="I79" s="24"/>
      <c r="J79" s="23">
        <v>81546967.420000002</v>
      </c>
      <c r="K79" s="23">
        <v>79893840.420000002</v>
      </c>
      <c r="L79" s="23">
        <f t="shared" ref="L79" si="131">J79-K79</f>
        <v>1653127</v>
      </c>
      <c r="M79" s="25"/>
      <c r="N79" s="26">
        <v>3750000</v>
      </c>
      <c r="O79" s="23">
        <f t="shared" ref="O79" si="132">G79-K79</f>
        <v>1653127</v>
      </c>
      <c r="P79" s="58">
        <f t="shared" si="2"/>
        <v>97.972791567483171</v>
      </c>
      <c r="Q79" s="23">
        <v>89248831.489999995</v>
      </c>
      <c r="R79" s="23">
        <v>91348831.489999995</v>
      </c>
      <c r="S79" s="23"/>
      <c r="T79" s="24"/>
      <c r="U79" s="23">
        <v>4348508.75</v>
      </c>
      <c r="V79" s="23">
        <v>40433875.43</v>
      </c>
      <c r="W79" s="23">
        <f t="shared" ref="W79" si="133">U79-V79</f>
        <v>-36085366.68</v>
      </c>
      <c r="X79" s="25"/>
      <c r="Y79" s="26">
        <v>3750000</v>
      </c>
      <c r="Z79" s="23">
        <f t="shared" ref="Z79" si="134">R79-V79</f>
        <v>50914956.059999995</v>
      </c>
      <c r="AA79" s="58">
        <f t="shared" si="3"/>
        <v>929.83313946418991</v>
      </c>
      <c r="AB79" s="84">
        <f t="shared" si="4"/>
        <v>0.45304655259862386</v>
      </c>
      <c r="AC79" s="84">
        <f t="shared" si="5"/>
        <v>0.44263155609632859</v>
      </c>
      <c r="AD79" s="44"/>
    </row>
    <row r="80" spans="1:30" ht="40.5" customHeight="1">
      <c r="A80" s="80"/>
      <c r="B80" s="94" t="s">
        <v>11</v>
      </c>
      <c r="C80" s="94"/>
      <c r="D80" s="94"/>
      <c r="E80" s="94"/>
      <c r="F80" s="94"/>
      <c r="G80" s="27">
        <f>SUM(G81:G82)</f>
        <v>123408741.62</v>
      </c>
      <c r="H80" s="27">
        <f t="shared" ref="H80:O80" si="135">SUM(H81:H82)</f>
        <v>0</v>
      </c>
      <c r="I80" s="27">
        <f t="shared" si="135"/>
        <v>0</v>
      </c>
      <c r="J80" s="27">
        <f t="shared" si="135"/>
        <v>123088828.05000001</v>
      </c>
      <c r="K80" s="27">
        <f>SUM(K81:K82)</f>
        <v>122551484.34999999</v>
      </c>
      <c r="L80" s="27">
        <f t="shared" si="135"/>
        <v>537343.70000001416</v>
      </c>
      <c r="M80" s="27">
        <f t="shared" si="135"/>
        <v>0</v>
      </c>
      <c r="N80" s="27">
        <f t="shared" si="135"/>
        <v>7500000</v>
      </c>
      <c r="O80" s="27">
        <f t="shared" si="135"/>
        <v>857257.270000007</v>
      </c>
      <c r="P80" s="55">
        <f t="shared" si="2"/>
        <v>99.563450470271974</v>
      </c>
      <c r="Q80" s="27">
        <f>SUM(Q81:Q82)</f>
        <v>119579800</v>
      </c>
      <c r="R80" s="27">
        <f>SUM(R81:R82)</f>
        <v>119579800</v>
      </c>
      <c r="S80" s="27">
        <f t="shared" ref="S80:Z80" si="136">SUM(S81:S82)</f>
        <v>0</v>
      </c>
      <c r="T80" s="27">
        <f t="shared" si="136"/>
        <v>0</v>
      </c>
      <c r="U80" s="27">
        <f t="shared" si="136"/>
        <v>0</v>
      </c>
      <c r="V80" s="27">
        <f t="shared" ref="V80" si="137">SUM(V81:V82)</f>
        <v>70023609.560000002</v>
      </c>
      <c r="W80" s="27">
        <f t="shared" si="136"/>
        <v>-70023609.560000002</v>
      </c>
      <c r="X80" s="27">
        <f t="shared" si="136"/>
        <v>0</v>
      </c>
      <c r="Y80" s="27">
        <f t="shared" si="136"/>
        <v>7500000</v>
      </c>
      <c r="Z80" s="27">
        <f t="shared" si="136"/>
        <v>49556190.439999998</v>
      </c>
      <c r="AA80" s="55" t="e">
        <f t="shared" si="3"/>
        <v>#DIV/0!</v>
      </c>
      <c r="AB80" s="83">
        <f t="shared" si="4"/>
        <v>0.58558058769123211</v>
      </c>
      <c r="AC80" s="83">
        <f t="shared" si="5"/>
        <v>0.58558058769123211</v>
      </c>
      <c r="AD80" s="44"/>
    </row>
    <row r="81" spans="1:30" ht="18.75" customHeight="1">
      <c r="A81" s="80"/>
      <c r="B81" s="56"/>
      <c r="C81" s="41" t="s">
        <v>44</v>
      </c>
      <c r="D81" s="57" t="s">
        <v>5</v>
      </c>
      <c r="E81" s="39"/>
      <c r="F81" s="40"/>
      <c r="G81" s="23">
        <v>26408941.620000001</v>
      </c>
      <c r="H81" s="23"/>
      <c r="I81" s="24"/>
      <c r="J81" s="23">
        <v>26408941.620000001</v>
      </c>
      <c r="K81" s="23">
        <v>25871605.780000001</v>
      </c>
      <c r="L81" s="23">
        <f t="shared" ref="L81:L82" si="138">J81-K81</f>
        <v>537335.83999999985</v>
      </c>
      <c r="M81" s="25"/>
      <c r="N81" s="26">
        <v>3750000</v>
      </c>
      <c r="O81" s="23">
        <f t="shared" ref="O81:O82" si="139">G81-K81</f>
        <v>537335.83999999985</v>
      </c>
      <c r="P81" s="58">
        <f t="shared" si="2"/>
        <v>97.965326109119559</v>
      </c>
      <c r="Q81" s="23">
        <v>37395000</v>
      </c>
      <c r="R81" s="23">
        <v>37395000</v>
      </c>
      <c r="S81" s="23"/>
      <c r="T81" s="24"/>
      <c r="U81" s="23">
        <v>0</v>
      </c>
      <c r="V81" s="23">
        <v>17523602.390000001</v>
      </c>
      <c r="W81" s="23">
        <f t="shared" ref="W81:W82" si="140">U81-V81</f>
        <v>-17523602.390000001</v>
      </c>
      <c r="X81" s="25"/>
      <c r="Y81" s="26">
        <v>3750000</v>
      </c>
      <c r="Z81" s="23">
        <f t="shared" ref="Z81:Z82" si="141">R81-V81</f>
        <v>19871397.609999999</v>
      </c>
      <c r="AA81" s="58" t="e">
        <f t="shared" si="3"/>
        <v>#DIV/0!</v>
      </c>
      <c r="AB81" s="84">
        <f t="shared" si="4"/>
        <v>0.4686081665998128</v>
      </c>
      <c r="AC81" s="84">
        <f t="shared" si="5"/>
        <v>0.4686081665998128</v>
      </c>
      <c r="AD81" s="44"/>
    </row>
    <row r="82" spans="1:30" ht="18.600000000000001" customHeight="1">
      <c r="A82" s="80"/>
      <c r="B82" s="56"/>
      <c r="C82" s="41" t="s">
        <v>45</v>
      </c>
      <c r="D82" s="57" t="s">
        <v>4</v>
      </c>
      <c r="E82" s="39"/>
      <c r="F82" s="40"/>
      <c r="G82" s="23">
        <v>96999800</v>
      </c>
      <c r="H82" s="23"/>
      <c r="I82" s="24"/>
      <c r="J82" s="23">
        <v>96679886.430000007</v>
      </c>
      <c r="K82" s="23">
        <v>96679878.569999993</v>
      </c>
      <c r="L82" s="23">
        <f t="shared" si="138"/>
        <v>7.8600000143051147</v>
      </c>
      <c r="M82" s="25"/>
      <c r="N82" s="26">
        <v>3750000</v>
      </c>
      <c r="O82" s="23">
        <f t="shared" si="139"/>
        <v>319921.43000000715</v>
      </c>
      <c r="P82" s="58">
        <f t="shared" si="2"/>
        <v>99.999991870077324</v>
      </c>
      <c r="Q82" s="23">
        <v>82184800</v>
      </c>
      <c r="R82" s="23">
        <v>82184800</v>
      </c>
      <c r="S82" s="23"/>
      <c r="T82" s="24"/>
      <c r="U82" s="23">
        <v>0</v>
      </c>
      <c r="V82" s="23">
        <v>52500007.170000002</v>
      </c>
      <c r="W82" s="23">
        <f t="shared" si="140"/>
        <v>-52500007.170000002</v>
      </c>
      <c r="X82" s="25"/>
      <c r="Y82" s="26">
        <v>3750000</v>
      </c>
      <c r="Z82" s="23">
        <f t="shared" si="141"/>
        <v>29684792.829999998</v>
      </c>
      <c r="AA82" s="58" t="e">
        <f t="shared" si="3"/>
        <v>#DIV/0!</v>
      </c>
      <c r="AB82" s="84">
        <f t="shared" si="4"/>
        <v>0.63880434301720024</v>
      </c>
      <c r="AC82" s="84">
        <f t="shared" si="5"/>
        <v>0.63880434301720024</v>
      </c>
      <c r="AD82" s="44"/>
    </row>
    <row r="83" spans="1:30" ht="27.75" customHeight="1">
      <c r="A83" s="80"/>
      <c r="B83" s="94" t="s">
        <v>10</v>
      </c>
      <c r="C83" s="94"/>
      <c r="D83" s="94"/>
      <c r="E83" s="94"/>
      <c r="F83" s="94"/>
      <c r="G83" s="27">
        <f t="shared" ref="G83:O83" si="142">SUM(G84:G85)</f>
        <v>15474002</v>
      </c>
      <c r="H83" s="27">
        <f t="shared" si="142"/>
        <v>0</v>
      </c>
      <c r="I83" s="27">
        <f t="shared" si="142"/>
        <v>0</v>
      </c>
      <c r="J83" s="27">
        <f t="shared" si="142"/>
        <v>15473402</v>
      </c>
      <c r="K83" s="27">
        <f>SUM(K84:K85)</f>
        <v>15458747.439999999</v>
      </c>
      <c r="L83" s="27">
        <f t="shared" si="142"/>
        <v>14654.560000000522</v>
      </c>
      <c r="M83" s="27">
        <f t="shared" si="142"/>
        <v>0</v>
      </c>
      <c r="N83" s="27">
        <f t="shared" si="142"/>
        <v>7500000</v>
      </c>
      <c r="O83" s="27">
        <f t="shared" si="142"/>
        <v>15254.560000000522</v>
      </c>
      <c r="P83" s="55">
        <f t="shared" si="2"/>
        <v>99.905291932569185</v>
      </c>
      <c r="Q83" s="27">
        <f t="shared" ref="Q83" si="143">SUM(Q84:Q85)</f>
        <v>18997502.530000001</v>
      </c>
      <c r="R83" s="27">
        <f t="shared" ref="R83" si="144">SUM(R84:R85)</f>
        <v>19790237.530000001</v>
      </c>
      <c r="S83" s="27">
        <f t="shared" ref="S83:Z83" si="145">SUM(S84:S85)</f>
        <v>0</v>
      </c>
      <c r="T83" s="27">
        <f t="shared" si="145"/>
        <v>0</v>
      </c>
      <c r="U83" s="27">
        <f t="shared" si="145"/>
        <v>1655478.69</v>
      </c>
      <c r="V83" s="27">
        <f t="shared" ref="V83" si="146">SUM(V84:V85)</f>
        <v>9249292.3599999994</v>
      </c>
      <c r="W83" s="27">
        <f t="shared" si="145"/>
        <v>-7593813.6699999999</v>
      </c>
      <c r="X83" s="27">
        <f t="shared" si="145"/>
        <v>0</v>
      </c>
      <c r="Y83" s="27">
        <f t="shared" si="145"/>
        <v>7500000</v>
      </c>
      <c r="Z83" s="27">
        <f t="shared" si="145"/>
        <v>10540945.170000002</v>
      </c>
      <c r="AA83" s="55">
        <f t="shared" si="3"/>
        <v>558.70802903539641</v>
      </c>
      <c r="AB83" s="83">
        <f t="shared" si="4"/>
        <v>0.48686885791403017</v>
      </c>
      <c r="AC83" s="83">
        <f t="shared" si="5"/>
        <v>0.46736641467688328</v>
      </c>
      <c r="AD83" s="44"/>
    </row>
    <row r="84" spans="1:30" ht="15.75" customHeight="1">
      <c r="A84" s="80"/>
      <c r="B84" s="56"/>
      <c r="C84" s="41" t="s">
        <v>44</v>
      </c>
      <c r="D84" s="57" t="s">
        <v>5</v>
      </c>
      <c r="E84" s="39"/>
      <c r="F84" s="40"/>
      <c r="G84" s="23">
        <v>12787252</v>
      </c>
      <c r="H84" s="23"/>
      <c r="I84" s="24"/>
      <c r="J84" s="23">
        <v>12787252</v>
      </c>
      <c r="K84" s="23">
        <v>12772597.439999999</v>
      </c>
      <c r="L84" s="23">
        <f t="shared" ref="L84:L85" si="147">J84-K84</f>
        <v>14654.560000000522</v>
      </c>
      <c r="M84" s="25"/>
      <c r="N84" s="26">
        <v>3750000</v>
      </c>
      <c r="O84" s="23">
        <f t="shared" ref="O84:O85" si="148">G84-K84</f>
        <v>14654.560000000522</v>
      </c>
      <c r="P84" s="58">
        <f>K84/J84*100</f>
        <v>99.885397112686917</v>
      </c>
      <c r="Q84" s="23">
        <v>18244302.530000001</v>
      </c>
      <c r="R84" s="23">
        <f>12814+18031488.53+200000</f>
        <v>18244302.530000001</v>
      </c>
      <c r="S84" s="23"/>
      <c r="T84" s="24"/>
      <c r="U84" s="23">
        <v>1505478.69</v>
      </c>
      <c r="V84" s="23">
        <f>2450+8984101.7</f>
        <v>8986551.6999999993</v>
      </c>
      <c r="W84" s="23">
        <f t="shared" ref="W84:W85" si="149">U84-V84</f>
        <v>-7481073.0099999998</v>
      </c>
      <c r="X84" s="25"/>
      <c r="Y84" s="26">
        <v>3750000</v>
      </c>
      <c r="Z84" s="23">
        <f t="shared" ref="Z84:Z85" si="150">R84-V84</f>
        <v>9257750.8300000019</v>
      </c>
      <c r="AA84" s="58">
        <f>V84/U84*100</f>
        <v>596.92320852445948</v>
      </c>
      <c r="AB84" s="84">
        <f t="shared" si="4"/>
        <v>0.49256756651688777</v>
      </c>
      <c r="AC84" s="84">
        <f t="shared" si="5"/>
        <v>0.49256756651688777</v>
      </c>
      <c r="AD84" s="44"/>
    </row>
    <row r="85" spans="1:30" ht="16.5" customHeight="1">
      <c r="A85" s="80"/>
      <c r="B85" s="56"/>
      <c r="C85" s="41" t="s">
        <v>45</v>
      </c>
      <c r="D85" s="57" t="s">
        <v>9</v>
      </c>
      <c r="E85" s="39"/>
      <c r="F85" s="40"/>
      <c r="G85" s="23">
        <v>2686750</v>
      </c>
      <c r="H85" s="23"/>
      <c r="I85" s="24"/>
      <c r="J85" s="23">
        <v>2686150</v>
      </c>
      <c r="K85" s="23">
        <v>2686150</v>
      </c>
      <c r="L85" s="23">
        <f t="shared" si="147"/>
        <v>0</v>
      </c>
      <c r="M85" s="25"/>
      <c r="N85" s="26">
        <v>3750000</v>
      </c>
      <c r="O85" s="23">
        <f t="shared" si="148"/>
        <v>600</v>
      </c>
      <c r="P85" s="58">
        <f t="shared" ref="P85:P100" si="151">K85/J85*100</f>
        <v>100</v>
      </c>
      <c r="Q85" s="23">
        <v>753200</v>
      </c>
      <c r="R85" s="23">
        <v>1545935</v>
      </c>
      <c r="S85" s="23"/>
      <c r="T85" s="24"/>
      <c r="U85" s="23">
        <v>150000</v>
      </c>
      <c r="V85" s="23">
        <v>262740.65999999997</v>
      </c>
      <c r="W85" s="23">
        <f t="shared" si="149"/>
        <v>-112740.65999999997</v>
      </c>
      <c r="X85" s="25"/>
      <c r="Y85" s="26">
        <v>3750000</v>
      </c>
      <c r="Z85" s="23">
        <f t="shared" si="150"/>
        <v>1283194.3400000001</v>
      </c>
      <c r="AA85" s="58">
        <f t="shared" si="3"/>
        <v>175.16043999999997</v>
      </c>
      <c r="AB85" s="84">
        <f t="shared" si="4"/>
        <v>0.34883252788104085</v>
      </c>
      <c r="AC85" s="84">
        <f t="shared" si="5"/>
        <v>0.16995582608583154</v>
      </c>
      <c r="AD85" s="44"/>
    </row>
    <row r="86" spans="1:30" ht="38.25" customHeight="1">
      <c r="A86" s="80"/>
      <c r="B86" s="94" t="s">
        <v>8</v>
      </c>
      <c r="C86" s="94"/>
      <c r="D86" s="94"/>
      <c r="E86" s="94"/>
      <c r="F86" s="94"/>
      <c r="G86" s="27">
        <f t="shared" ref="G86:O86" si="152">SUM(G87:G89)</f>
        <v>391732182.87</v>
      </c>
      <c r="H86" s="27">
        <f t="shared" si="152"/>
        <v>0</v>
      </c>
      <c r="I86" s="27">
        <f t="shared" si="152"/>
        <v>0</v>
      </c>
      <c r="J86" s="27">
        <f t="shared" si="152"/>
        <v>391141963.04000002</v>
      </c>
      <c r="K86" s="27">
        <f t="shared" si="152"/>
        <v>382062784.32999998</v>
      </c>
      <c r="L86" s="27">
        <f t="shared" si="152"/>
        <v>9079178.7099999804</v>
      </c>
      <c r="M86" s="27">
        <f t="shared" si="152"/>
        <v>0</v>
      </c>
      <c r="N86" s="27">
        <f t="shared" si="152"/>
        <v>11250000</v>
      </c>
      <c r="O86" s="27">
        <f t="shared" si="152"/>
        <v>9669398.5400000103</v>
      </c>
      <c r="P86" s="55">
        <f t="shared" si="151"/>
        <v>97.678802182349443</v>
      </c>
      <c r="Q86" s="27">
        <f t="shared" ref="Q86:R86" si="153">SUM(Q87:Q89)</f>
        <v>397400946.10000002</v>
      </c>
      <c r="R86" s="27">
        <f t="shared" si="153"/>
        <v>401747246.10000002</v>
      </c>
      <c r="S86" s="27">
        <f t="shared" ref="S86:Z86" si="154">SUM(S87:S89)</f>
        <v>0</v>
      </c>
      <c r="T86" s="27">
        <f t="shared" si="154"/>
        <v>0</v>
      </c>
      <c r="U86" s="27">
        <f t="shared" si="154"/>
        <v>24261635.350000001</v>
      </c>
      <c r="V86" s="27">
        <f t="shared" si="154"/>
        <v>222068881.52000001</v>
      </c>
      <c r="W86" s="27">
        <f t="shared" si="154"/>
        <v>-197807246.17000002</v>
      </c>
      <c r="X86" s="27">
        <f t="shared" si="154"/>
        <v>0</v>
      </c>
      <c r="Y86" s="27">
        <f t="shared" si="154"/>
        <v>11250000</v>
      </c>
      <c r="Z86" s="27">
        <f t="shared" si="154"/>
        <v>179678364.58000001</v>
      </c>
      <c r="AA86" s="55">
        <f t="shared" si="3"/>
        <v>915.30879232343261</v>
      </c>
      <c r="AB86" s="83">
        <f t="shared" si="4"/>
        <v>0.55880310225562391</v>
      </c>
      <c r="AC86" s="83">
        <f t="shared" si="5"/>
        <v>0.55275769448516454</v>
      </c>
      <c r="AD86" s="44"/>
    </row>
    <row r="87" spans="1:30" ht="18.600000000000001" customHeight="1">
      <c r="A87" s="80"/>
      <c r="B87" s="56"/>
      <c r="C87" s="41" t="s">
        <v>44</v>
      </c>
      <c r="D87" s="57" t="s">
        <v>5</v>
      </c>
      <c r="E87" s="39"/>
      <c r="F87" s="40"/>
      <c r="G87" s="23">
        <v>374949982.87</v>
      </c>
      <c r="H87" s="23"/>
      <c r="I87" s="24"/>
      <c r="J87" s="23">
        <v>374428625.08999997</v>
      </c>
      <c r="K87" s="23">
        <v>366123015.13</v>
      </c>
      <c r="L87" s="23">
        <f t="shared" ref="L87:L89" si="155">J87-K87</f>
        <v>8305609.9599999785</v>
      </c>
      <c r="M87" s="25"/>
      <c r="N87" s="26">
        <v>3750000</v>
      </c>
      <c r="O87" s="23">
        <f t="shared" ref="O87:O89" si="156">G87-K87</f>
        <v>8826967.7400000095</v>
      </c>
      <c r="P87" s="58">
        <f t="shared" si="151"/>
        <v>97.781790866549372</v>
      </c>
      <c r="Q87" s="23">
        <v>378380646.10000002</v>
      </c>
      <c r="R87" s="23">
        <f>702509+381432137.1</f>
        <v>382134646.10000002</v>
      </c>
      <c r="S87" s="23"/>
      <c r="T87" s="24"/>
      <c r="U87" s="23">
        <v>23936635.350000001</v>
      </c>
      <c r="V87" s="23">
        <f>374075+212671404.85</f>
        <v>213045479.84999999</v>
      </c>
      <c r="W87" s="23">
        <f t="shared" ref="W87:W89" si="157">U87-V87</f>
        <v>-189108844.5</v>
      </c>
      <c r="X87" s="25"/>
      <c r="Y87" s="26">
        <v>3750000</v>
      </c>
      <c r="Z87" s="23">
        <f t="shared" ref="Z87:Z89" si="158">R87-V87</f>
        <v>169089166.25000003</v>
      </c>
      <c r="AA87" s="58">
        <f t="shared" si="3"/>
        <v>890.03937577216755</v>
      </c>
      <c r="AB87" s="84">
        <f t="shared" si="4"/>
        <v>0.56304539369515072</v>
      </c>
      <c r="AC87" s="84">
        <f t="shared" si="5"/>
        <v>0.55751416948006483</v>
      </c>
      <c r="AD87" s="44"/>
    </row>
    <row r="88" spans="1:30" ht="15.75" customHeight="1">
      <c r="A88" s="80"/>
      <c r="B88" s="56"/>
      <c r="C88" s="41" t="s">
        <v>46</v>
      </c>
      <c r="D88" s="57" t="s">
        <v>7</v>
      </c>
      <c r="E88" s="39"/>
      <c r="F88" s="40"/>
      <c r="G88" s="23">
        <v>6057700</v>
      </c>
      <c r="H88" s="23"/>
      <c r="I88" s="24"/>
      <c r="J88" s="23">
        <v>6050342.9800000004</v>
      </c>
      <c r="K88" s="23">
        <v>6039823.3300000001</v>
      </c>
      <c r="L88" s="23">
        <f t="shared" si="155"/>
        <v>10519.650000000373</v>
      </c>
      <c r="M88" s="25"/>
      <c r="N88" s="26">
        <v>3750000</v>
      </c>
      <c r="O88" s="23">
        <f t="shared" si="156"/>
        <v>17876.669999999925</v>
      </c>
      <c r="P88" s="58">
        <f t="shared" si="151"/>
        <v>99.82613134437544</v>
      </c>
      <c r="Q88" s="23">
        <v>8863500</v>
      </c>
      <c r="R88" s="23">
        <v>8863500</v>
      </c>
      <c r="S88" s="23"/>
      <c r="T88" s="24"/>
      <c r="U88" s="23">
        <v>0</v>
      </c>
      <c r="V88" s="23">
        <v>4384335.99</v>
      </c>
      <c r="W88" s="23">
        <f t="shared" si="157"/>
        <v>-4384335.99</v>
      </c>
      <c r="X88" s="25"/>
      <c r="Y88" s="26">
        <v>3750000</v>
      </c>
      <c r="Z88" s="23">
        <f t="shared" si="158"/>
        <v>4479164.01</v>
      </c>
      <c r="AA88" s="58" t="e">
        <f t="shared" si="3"/>
        <v>#DIV/0!</v>
      </c>
      <c r="AB88" s="84">
        <f t="shared" si="4"/>
        <v>0.49465064477915049</v>
      </c>
      <c r="AC88" s="84">
        <f t="shared" si="5"/>
        <v>0.49465064477915049</v>
      </c>
      <c r="AD88" s="44"/>
    </row>
    <row r="89" spans="1:30" ht="16.5" customHeight="1">
      <c r="A89" s="80"/>
      <c r="B89" s="56"/>
      <c r="C89" s="41" t="s">
        <v>45</v>
      </c>
      <c r="D89" s="57" t="s">
        <v>3</v>
      </c>
      <c r="E89" s="39"/>
      <c r="F89" s="40"/>
      <c r="G89" s="23">
        <v>10724500</v>
      </c>
      <c r="H89" s="23"/>
      <c r="I89" s="24"/>
      <c r="J89" s="23">
        <v>10662994.970000001</v>
      </c>
      <c r="K89" s="23">
        <v>9899945.8699999992</v>
      </c>
      <c r="L89" s="23">
        <f t="shared" si="155"/>
        <v>763049.10000000149</v>
      </c>
      <c r="M89" s="25"/>
      <c r="N89" s="26">
        <v>3750000</v>
      </c>
      <c r="O89" s="23">
        <f t="shared" si="156"/>
        <v>824554.13000000082</v>
      </c>
      <c r="P89" s="58">
        <f t="shared" si="151"/>
        <v>92.843951421276898</v>
      </c>
      <c r="Q89" s="23">
        <v>10156800</v>
      </c>
      <c r="R89" s="23">
        <f>10493000+256100</f>
        <v>10749100</v>
      </c>
      <c r="S89" s="23"/>
      <c r="T89" s="24"/>
      <c r="U89" s="23">
        <v>325000</v>
      </c>
      <c r="V89" s="23">
        <f>4530742.03+108323.65</f>
        <v>4639065.6800000006</v>
      </c>
      <c r="W89" s="23">
        <f t="shared" si="157"/>
        <v>-4314065.6800000006</v>
      </c>
      <c r="X89" s="25"/>
      <c r="Y89" s="26">
        <v>3750000</v>
      </c>
      <c r="Z89" s="23">
        <f t="shared" si="158"/>
        <v>6110034.3199999994</v>
      </c>
      <c r="AA89" s="58">
        <f t="shared" si="3"/>
        <v>1427.4048246153848</v>
      </c>
      <c r="AB89" s="84">
        <f t="shared" si="4"/>
        <v>0.45674480938878392</v>
      </c>
      <c r="AC89" s="84">
        <f t="shared" si="5"/>
        <v>0.43157712552678834</v>
      </c>
      <c r="AD89" s="44"/>
    </row>
    <row r="90" spans="1:30" ht="40.9" customHeight="1">
      <c r="A90" s="80"/>
      <c r="B90" s="94" t="s">
        <v>6</v>
      </c>
      <c r="C90" s="94"/>
      <c r="D90" s="94"/>
      <c r="E90" s="94"/>
      <c r="F90" s="94"/>
      <c r="G90" s="27">
        <f>SUM(G91:I93)</f>
        <v>52518500</v>
      </c>
      <c r="H90" s="27">
        <f t="shared" ref="H90:I90" si="159">SUM(H91:J93)</f>
        <v>51918448</v>
      </c>
      <c r="I90" s="27">
        <f t="shared" si="159"/>
        <v>103752837.94999999</v>
      </c>
      <c r="J90" s="27">
        <f>SUM(J91:J93)</f>
        <v>51918448</v>
      </c>
      <c r="K90" s="27">
        <f>K91+K92+K93</f>
        <v>51834389.950000003</v>
      </c>
      <c r="L90" s="27">
        <f t="shared" ref="L90:O90" si="160">SUM(L91:L92)</f>
        <v>84058.04999999702</v>
      </c>
      <c r="M90" s="27">
        <f t="shared" si="160"/>
        <v>0</v>
      </c>
      <c r="N90" s="27">
        <f t="shared" si="160"/>
        <v>7500000</v>
      </c>
      <c r="O90" s="27">
        <f t="shared" si="160"/>
        <v>516768.9299999997</v>
      </c>
      <c r="P90" s="55">
        <f t="shared" si="151"/>
        <v>99.838095988539564</v>
      </c>
      <c r="Q90" s="27">
        <f t="shared" ref="Q90" si="161">SUM(Q91:Q92)</f>
        <v>25717700</v>
      </c>
      <c r="R90" s="27">
        <f t="shared" ref="R90" si="162">SUM(R91:R92)</f>
        <v>30919200</v>
      </c>
      <c r="S90" s="27">
        <f t="shared" ref="S90:Z90" si="163">SUM(S91:S92)</f>
        <v>0</v>
      </c>
      <c r="T90" s="27">
        <f t="shared" si="163"/>
        <v>0</v>
      </c>
      <c r="U90" s="27">
        <f t="shared" si="163"/>
        <v>162000</v>
      </c>
      <c r="V90" s="27">
        <f t="shared" ref="V90" si="164">SUM(V91:V92)</f>
        <v>2583272.61</v>
      </c>
      <c r="W90" s="27">
        <f t="shared" si="163"/>
        <v>-2421272.61</v>
      </c>
      <c r="X90" s="27">
        <f t="shared" si="163"/>
        <v>0</v>
      </c>
      <c r="Y90" s="27">
        <f t="shared" si="163"/>
        <v>7500000</v>
      </c>
      <c r="Z90" s="27">
        <f t="shared" si="163"/>
        <v>28335927.390000001</v>
      </c>
      <c r="AA90" s="55">
        <f t="shared" ref="AA90:AA100" si="165">V90/U90*100</f>
        <v>1594.6127222222221</v>
      </c>
      <c r="AB90" s="83">
        <f t="shared" ref="AB90:AB100" si="166">V90/Q90</f>
        <v>0.10044726433545767</v>
      </c>
      <c r="AC90" s="83">
        <f t="shared" ref="AC90:AC100" si="167">V90/R90</f>
        <v>8.3549141310253816E-2</v>
      </c>
      <c r="AD90" s="44"/>
    </row>
    <row r="91" spans="1:30" ht="13.5" customHeight="1">
      <c r="A91" s="80"/>
      <c r="B91" s="56"/>
      <c r="C91" s="41" t="s">
        <v>44</v>
      </c>
      <c r="D91" s="57" t="s">
        <v>5</v>
      </c>
      <c r="E91" s="39"/>
      <c r="F91" s="40"/>
      <c r="G91" s="23">
        <v>13900000</v>
      </c>
      <c r="H91" s="23"/>
      <c r="I91" s="24"/>
      <c r="J91" s="23">
        <v>13900000</v>
      </c>
      <c r="K91" s="23">
        <v>13899919</v>
      </c>
      <c r="L91" s="23">
        <f t="shared" ref="L91:L92" si="168">J91-K91</f>
        <v>81</v>
      </c>
      <c r="M91" s="25"/>
      <c r="N91" s="26">
        <v>3750000</v>
      </c>
      <c r="O91" s="23">
        <f t="shared" ref="O91:O92" si="169">G91-K91</f>
        <v>81</v>
      </c>
      <c r="P91" s="58">
        <f t="shared" si="151"/>
        <v>99.999417266187052</v>
      </c>
      <c r="Q91" s="23">
        <v>3600000</v>
      </c>
      <c r="R91" s="23">
        <v>3600000</v>
      </c>
      <c r="S91" s="23"/>
      <c r="T91" s="24"/>
      <c r="U91" s="23">
        <v>0</v>
      </c>
      <c r="V91" s="23">
        <v>29376.32</v>
      </c>
      <c r="W91" s="23">
        <f t="shared" ref="W91:W92" si="170">U91-V91</f>
        <v>-29376.32</v>
      </c>
      <c r="X91" s="25"/>
      <c r="Y91" s="26">
        <v>3750000</v>
      </c>
      <c r="Z91" s="23">
        <f t="shared" ref="Z91:Z92" si="171">R91-V91</f>
        <v>3570623.68</v>
      </c>
      <c r="AA91" s="58" t="e">
        <f t="shared" si="165"/>
        <v>#DIV/0!</v>
      </c>
      <c r="AB91" s="84">
        <f t="shared" si="166"/>
        <v>8.1600888888888889E-3</v>
      </c>
      <c r="AC91" s="84">
        <f t="shared" si="167"/>
        <v>8.1600888888888889E-3</v>
      </c>
      <c r="AD91" s="44"/>
    </row>
    <row r="92" spans="1:30" ht="14.25" customHeight="1">
      <c r="A92" s="80"/>
      <c r="B92" s="56"/>
      <c r="C92" s="41" t="s">
        <v>45</v>
      </c>
      <c r="D92" s="57" t="s">
        <v>3</v>
      </c>
      <c r="E92" s="39"/>
      <c r="F92" s="40"/>
      <c r="G92" s="23">
        <v>38210400</v>
      </c>
      <c r="H92" s="23"/>
      <c r="I92" s="24"/>
      <c r="J92" s="23">
        <v>37777689.119999997</v>
      </c>
      <c r="K92" s="23">
        <v>37693712.07</v>
      </c>
      <c r="L92" s="23">
        <f t="shared" si="168"/>
        <v>83977.04999999702</v>
      </c>
      <c r="M92" s="25"/>
      <c r="N92" s="26">
        <v>3750000</v>
      </c>
      <c r="O92" s="23">
        <f t="shared" si="169"/>
        <v>516687.9299999997</v>
      </c>
      <c r="P92" s="58">
        <f t="shared" si="151"/>
        <v>99.777707287141766</v>
      </c>
      <c r="Q92" s="23">
        <v>22117700</v>
      </c>
      <c r="R92" s="23">
        <f>5066100+22253100</f>
        <v>27319200</v>
      </c>
      <c r="S92" s="23"/>
      <c r="T92" s="24"/>
      <c r="U92" s="23">
        <v>162000</v>
      </c>
      <c r="V92" s="23">
        <f>558150+1995746.29</f>
        <v>2553896.29</v>
      </c>
      <c r="W92" s="23">
        <f t="shared" si="170"/>
        <v>-2391896.29</v>
      </c>
      <c r="X92" s="25"/>
      <c r="Y92" s="26">
        <v>3750000</v>
      </c>
      <c r="Z92" s="23">
        <f t="shared" si="171"/>
        <v>24765303.710000001</v>
      </c>
      <c r="AA92" s="58">
        <f t="shared" si="165"/>
        <v>1576.4791913580248</v>
      </c>
      <c r="AB92" s="84">
        <f t="shared" si="166"/>
        <v>0.11546843885214104</v>
      </c>
      <c r="AC92" s="84">
        <f t="shared" si="167"/>
        <v>9.3483567966851158E-2</v>
      </c>
      <c r="AD92" s="44"/>
    </row>
    <row r="93" spans="1:30" ht="14.25" hidden="1" customHeight="1">
      <c r="A93" s="80"/>
      <c r="B93" s="56"/>
      <c r="C93" s="41" t="s">
        <v>46</v>
      </c>
      <c r="D93" s="57"/>
      <c r="E93" s="39"/>
      <c r="F93" s="40"/>
      <c r="G93" s="23">
        <v>408100</v>
      </c>
      <c r="H93" s="23"/>
      <c r="I93" s="24"/>
      <c r="J93" s="23">
        <v>240758.88</v>
      </c>
      <c r="K93" s="23">
        <v>240758.88</v>
      </c>
      <c r="L93" s="23"/>
      <c r="M93" s="25"/>
      <c r="N93" s="26"/>
      <c r="O93" s="23"/>
      <c r="P93" s="58">
        <f t="shared" ref="P93" si="172">K93/J93*100</f>
        <v>100</v>
      </c>
      <c r="Q93" s="23"/>
      <c r="R93" s="23"/>
      <c r="S93" s="23"/>
      <c r="T93" s="24"/>
      <c r="U93" s="23"/>
      <c r="V93" s="23"/>
      <c r="W93" s="23">
        <v>0</v>
      </c>
      <c r="X93" s="25"/>
      <c r="Y93" s="26"/>
      <c r="Z93" s="23">
        <v>0</v>
      </c>
      <c r="AA93" s="58">
        <v>0</v>
      </c>
      <c r="AB93" s="83" t="e">
        <f t="shared" si="166"/>
        <v>#DIV/0!</v>
      </c>
      <c r="AC93" s="83" t="e">
        <f t="shared" si="167"/>
        <v>#DIV/0!</v>
      </c>
      <c r="AD93" s="44"/>
    </row>
    <row r="94" spans="1:30" ht="13.5" customHeight="1">
      <c r="A94" s="80"/>
      <c r="B94" s="94" t="s">
        <v>2</v>
      </c>
      <c r="C94" s="94"/>
      <c r="D94" s="94"/>
      <c r="E94" s="94"/>
      <c r="F94" s="94"/>
      <c r="G94" s="27">
        <f>SUM(G95)</f>
        <v>80402954.209999993</v>
      </c>
      <c r="H94" s="27">
        <f t="shared" ref="H94:O94" si="173">SUM(H95)</f>
        <v>0</v>
      </c>
      <c r="I94" s="27">
        <f t="shared" si="173"/>
        <v>0</v>
      </c>
      <c r="J94" s="27">
        <f t="shared" si="173"/>
        <v>77590846.180000007</v>
      </c>
      <c r="K94" s="27">
        <f t="shared" si="173"/>
        <v>76514617.209999993</v>
      </c>
      <c r="L94" s="27">
        <f t="shared" si="173"/>
        <v>1076228.9700000137</v>
      </c>
      <c r="M94" s="27">
        <f t="shared" si="173"/>
        <v>0</v>
      </c>
      <c r="N94" s="27">
        <f t="shared" si="173"/>
        <v>3750000</v>
      </c>
      <c r="O94" s="27">
        <f t="shared" si="173"/>
        <v>3888337</v>
      </c>
      <c r="P94" s="55">
        <f t="shared" si="151"/>
        <v>98.612943378007103</v>
      </c>
      <c r="Q94" s="27">
        <f>SUM(Q95)</f>
        <v>41598689.289999999</v>
      </c>
      <c r="R94" s="27">
        <f>SUM(R95)</f>
        <v>41598689.289999999</v>
      </c>
      <c r="S94" s="27">
        <f t="shared" ref="S94:Z94" si="174">SUM(S95)</f>
        <v>0</v>
      </c>
      <c r="T94" s="27">
        <f t="shared" si="174"/>
        <v>0</v>
      </c>
      <c r="U94" s="27">
        <f t="shared" si="174"/>
        <v>1848995.68</v>
      </c>
      <c r="V94" s="27">
        <f t="shared" si="174"/>
        <v>20531821.210000001</v>
      </c>
      <c r="W94" s="27">
        <f t="shared" si="174"/>
        <v>-18682825.530000001</v>
      </c>
      <c r="X94" s="27">
        <f t="shared" si="174"/>
        <v>0</v>
      </c>
      <c r="Y94" s="27">
        <f t="shared" si="174"/>
        <v>3750000</v>
      </c>
      <c r="Z94" s="27">
        <f t="shared" si="174"/>
        <v>21066868.079999998</v>
      </c>
      <c r="AA94" s="55">
        <f t="shared" si="165"/>
        <v>1110.4309994926543</v>
      </c>
      <c r="AB94" s="83">
        <f t="shared" si="166"/>
        <v>0.49356894557097719</v>
      </c>
      <c r="AC94" s="83">
        <f t="shared" si="167"/>
        <v>0.49356894557097719</v>
      </c>
      <c r="AD94" s="44"/>
    </row>
    <row r="95" spans="1:30" ht="14.25" customHeight="1" thickBot="1">
      <c r="A95" s="80"/>
      <c r="B95" s="56"/>
      <c r="C95" s="63" t="s">
        <v>44</v>
      </c>
      <c r="D95" s="64" t="s">
        <v>1</v>
      </c>
      <c r="E95" s="42"/>
      <c r="F95" s="43"/>
      <c r="G95" s="65">
        <v>80402954.209999993</v>
      </c>
      <c r="H95" s="65"/>
      <c r="I95" s="66"/>
      <c r="J95" s="65">
        <v>77590846.180000007</v>
      </c>
      <c r="K95" s="65">
        <v>76514617.209999993</v>
      </c>
      <c r="L95" s="65">
        <f t="shared" ref="L95" si="175">J95-K95</f>
        <v>1076228.9700000137</v>
      </c>
      <c r="M95" s="67"/>
      <c r="N95" s="68">
        <v>3750000</v>
      </c>
      <c r="O95" s="65">
        <f t="shared" ref="O95" si="176">G95-K95</f>
        <v>3888337</v>
      </c>
      <c r="P95" s="69">
        <f t="shared" si="151"/>
        <v>98.612943378007103</v>
      </c>
      <c r="Q95" s="65">
        <v>41598689.289999999</v>
      </c>
      <c r="R95" s="88">
        <v>41598689.289999999</v>
      </c>
      <c r="S95" s="65"/>
      <c r="T95" s="66"/>
      <c r="U95" s="65">
        <v>1848995.68</v>
      </c>
      <c r="V95" s="88">
        <v>20531821.210000001</v>
      </c>
      <c r="W95" s="65">
        <f t="shared" ref="W95" si="177">U95-V95</f>
        <v>-18682825.530000001</v>
      </c>
      <c r="X95" s="67"/>
      <c r="Y95" s="68">
        <v>3750000</v>
      </c>
      <c r="Z95" s="65">
        <f t="shared" ref="Z95" si="178">R95-V95</f>
        <v>21066868.079999998</v>
      </c>
      <c r="AA95" s="69">
        <f t="shared" si="165"/>
        <v>1110.4309994926543</v>
      </c>
      <c r="AB95" s="85">
        <f t="shared" si="166"/>
        <v>0.49356894557097719</v>
      </c>
      <c r="AC95" s="85">
        <f t="shared" si="167"/>
        <v>0.49356894557097719</v>
      </c>
      <c r="AD95" s="44"/>
    </row>
    <row r="96" spans="1:30" ht="16.5" customHeight="1" thickBot="1">
      <c r="A96" s="80"/>
      <c r="B96" s="59"/>
      <c r="C96" s="74" t="s">
        <v>50</v>
      </c>
      <c r="D96" s="75"/>
      <c r="E96" s="45"/>
      <c r="F96" s="45"/>
      <c r="G96" s="28">
        <f>G24+G26+G28+G32+G38+G42+G45+G49+G51+G54+G59+G62+G64+G67+G70+G72+G74+G76+G78+G80+G83+G86+G90+G94+G35</f>
        <v>7775548905.539999</v>
      </c>
      <c r="H96" s="28">
        <f t="shared" ref="H96:I96" si="179">H24+H26+H28+H32+H38+H42+H45+H49+H51+H54+H59+H62+H64+H67+H70+H72+H74+H76+H78+H80+H83+H86+H90+H94+H35</f>
        <v>51918448</v>
      </c>
      <c r="I96" s="28">
        <f t="shared" si="179"/>
        <v>103752837.94999999</v>
      </c>
      <c r="J96" s="28">
        <f>J24+J26+J28+J32+J38+J42+J45+J49+J51+J54+J59+J62+J64+J67+J70+J72+J74+J76+J78+J80+J83+J86+J90+J94+J35</f>
        <v>7724036466.9099998</v>
      </c>
      <c r="K96" s="28">
        <f>K24+K26+K28+K32+K38+K42+K45+K49+K51+K54+K59+K62+K64+K67+K70+K72+K74+K76+K78+K80+K83+K86+K90+K94+K35</f>
        <v>7671065934.5800018</v>
      </c>
      <c r="L96" s="28">
        <f t="shared" ref="L96:O96" si="180">L24+L26+L28+L32+L38+L42+L45+L49+L51+L54+L59+L62+L64+L67+L70+L72+L74+L76+L78+L80+L83+L86+L90+L94+L35</f>
        <v>52970532.330000266</v>
      </c>
      <c r="M96" s="28">
        <f t="shared" si="180"/>
        <v>0</v>
      </c>
      <c r="N96" s="28">
        <f t="shared" si="180"/>
        <v>168750000</v>
      </c>
      <c r="O96" s="28">
        <f t="shared" si="180"/>
        <v>104315629.84000024</v>
      </c>
      <c r="P96" s="76">
        <f t="shared" si="151"/>
        <v>99.314211778298485</v>
      </c>
      <c r="Q96" s="28">
        <f>Q24+Q26+Q28+Q32+Q38+Q42+Q45+Q49+Q51+Q54+Q59+Q62+Q64+Q67+Q70+Q72+Q74+Q76+Q78+Q80+Q83+Q86+Q90+Q94+Q35</f>
        <v>6985229799.9999981</v>
      </c>
      <c r="R96" s="28">
        <f>R24+R26+R28+R32+R38+R42+R45+R49+R51+R54+R59+R62+R64+R67+R70+R72+R74+R76+R78+R80+R83+R86+R90+R94+R35</f>
        <v>7721939603.1999979</v>
      </c>
      <c r="S96" s="28">
        <f t="shared" ref="S96:W96" si="181">S24+S26+S28+S32+S38+S42+S45+S49+S51+S54+S59+S62+S64+S67+S70+S72+S74+S76+S78+S80+S83+S86+S90+S94+S35</f>
        <v>0</v>
      </c>
      <c r="T96" s="28">
        <f t="shared" si="181"/>
        <v>0</v>
      </c>
      <c r="U96" s="28">
        <f t="shared" si="181"/>
        <v>290722617.71999997</v>
      </c>
      <c r="V96" s="28">
        <f>V24+V26+V28+V32+V38+V42+V45+V49+V51+V54+V59+V62+V64+V67+V70+V72+V74+V76+V78+V80+V83+V86+V90+V94+V35</f>
        <v>3917460117.0299997</v>
      </c>
      <c r="W96" s="28">
        <f t="shared" si="181"/>
        <v>-3626737499.3100004</v>
      </c>
      <c r="X96" s="28">
        <f t="shared" ref="X96:Z96" si="182">X24+X26+X28+X32+X38+X42+X45+X49+X51+X54+X59+X62+X64+X67+X70+X72+X74+X76+X78+X80+X83+X86+X90+X94+X35</f>
        <v>0</v>
      </c>
      <c r="Y96" s="28">
        <f t="shared" si="182"/>
        <v>168750000</v>
      </c>
      <c r="Z96" s="28">
        <f t="shared" si="182"/>
        <v>3803979486.1699991</v>
      </c>
      <c r="AA96" s="76">
        <f t="shared" si="165"/>
        <v>1347.4906588805463</v>
      </c>
      <c r="AB96" s="86">
        <f t="shared" si="166"/>
        <v>0.56082050686865026</v>
      </c>
      <c r="AC96" s="86">
        <f t="shared" si="167"/>
        <v>0.50731556038156411</v>
      </c>
      <c r="AD96" s="31"/>
    </row>
    <row r="97" spans="1:30" ht="18.75" customHeight="1">
      <c r="A97" s="81"/>
      <c r="B97" s="60"/>
      <c r="C97" s="70" t="s">
        <v>48</v>
      </c>
      <c r="D97" s="71"/>
      <c r="E97" s="71"/>
      <c r="F97" s="71"/>
      <c r="G97" s="72">
        <f t="shared" ref="G97:O97" si="183">G96-G94</f>
        <v>7695145951.329999</v>
      </c>
      <c r="H97" s="72">
        <f t="shared" si="183"/>
        <v>51918448</v>
      </c>
      <c r="I97" s="72">
        <f t="shared" si="183"/>
        <v>103752837.94999999</v>
      </c>
      <c r="J97" s="72">
        <f t="shared" si="183"/>
        <v>7646445620.7299995</v>
      </c>
      <c r="K97" s="72">
        <f t="shared" si="183"/>
        <v>7594551317.3700018</v>
      </c>
      <c r="L97" s="72">
        <f t="shared" si="183"/>
        <v>51894303.360000253</v>
      </c>
      <c r="M97" s="72">
        <f t="shared" si="183"/>
        <v>0</v>
      </c>
      <c r="N97" s="72">
        <f t="shared" si="183"/>
        <v>165000000</v>
      </c>
      <c r="O97" s="72">
        <f t="shared" si="183"/>
        <v>100427292.84000024</v>
      </c>
      <c r="P97" s="73">
        <f t="shared" si="151"/>
        <v>99.321327765422026</v>
      </c>
      <c r="Q97" s="72">
        <f t="shared" ref="Q97:R97" si="184">Q96-Q94</f>
        <v>6943631110.7099981</v>
      </c>
      <c r="R97" s="89">
        <f t="shared" si="184"/>
        <v>7680340913.9099979</v>
      </c>
      <c r="S97" s="72">
        <f t="shared" ref="S97:W97" si="185">S96-S94</f>
        <v>0</v>
      </c>
      <c r="T97" s="72">
        <f t="shared" si="185"/>
        <v>0</v>
      </c>
      <c r="U97" s="72">
        <f t="shared" si="185"/>
        <v>288873622.03999996</v>
      </c>
      <c r="V97" s="89">
        <f t="shared" si="185"/>
        <v>3896928295.8199997</v>
      </c>
      <c r="W97" s="72">
        <f t="shared" si="185"/>
        <v>-3608054673.7800002</v>
      </c>
      <c r="X97" s="72">
        <f t="shared" ref="X97:Z97" si="186">X96-X94</f>
        <v>0</v>
      </c>
      <c r="Y97" s="72">
        <f t="shared" si="186"/>
        <v>165000000</v>
      </c>
      <c r="Z97" s="72">
        <f t="shared" si="186"/>
        <v>3782912618.0899992</v>
      </c>
      <c r="AA97" s="73">
        <f t="shared" si="165"/>
        <v>1349.0080085195168</v>
      </c>
      <c r="AB97" s="87">
        <f t="shared" si="166"/>
        <v>0.56122340511570357</v>
      </c>
      <c r="AC97" s="87">
        <f t="shared" si="167"/>
        <v>0.50739001556066421</v>
      </c>
      <c r="AD97" s="31"/>
    </row>
    <row r="98" spans="1:30" ht="15.75" customHeight="1">
      <c r="A98" s="82"/>
      <c r="B98" s="60"/>
      <c r="C98" s="79" t="s">
        <v>49</v>
      </c>
      <c r="D98" s="60"/>
      <c r="E98" s="60"/>
      <c r="F98" s="60"/>
      <c r="G98" s="23">
        <f>G25+G27+G29+G33+G36+G39+G43+G46+G50+G52+G55+G60+G63+G65+G68+G71+G73+G75+G77+G79+G81+G84+G87+G91+G95</f>
        <v>3142186999.5499997</v>
      </c>
      <c r="H98" s="23">
        <f t="shared" ref="H98:O98" si="187">H25+H27+H29+H33+H36+H39+H43+H46+H50+H52+H55+H60+H63+H65+H68+H71+H73+H75+H77+H79+H81+H84+H87+H91+H95</f>
        <v>0</v>
      </c>
      <c r="I98" s="23">
        <f t="shared" si="187"/>
        <v>0</v>
      </c>
      <c r="J98" s="23">
        <f t="shared" si="187"/>
        <v>3107638647.5899997</v>
      </c>
      <c r="K98" s="23">
        <f t="shared" si="187"/>
        <v>3077831701.4700003</v>
      </c>
      <c r="L98" s="23">
        <f t="shared" si="187"/>
        <v>29806946.119999968</v>
      </c>
      <c r="M98" s="23">
        <f t="shared" si="187"/>
        <v>0</v>
      </c>
      <c r="N98" s="23">
        <f t="shared" si="187"/>
        <v>93750000</v>
      </c>
      <c r="O98" s="23">
        <f t="shared" si="187"/>
        <v>64355298.080000028</v>
      </c>
      <c r="P98" s="58">
        <f t="shared" si="151"/>
        <v>99.040849033618656</v>
      </c>
      <c r="Q98" s="23">
        <f>Q25+Q27+Q29+Q33+Q36+Q39+Q43+Q46+Q50+Q52+Q55+Q60+Q63+Q65+Q68+Q71+Q73+Q75+Q77+Q79+Q81+Q84+Q87+Q91+Q95</f>
        <v>3201151000</v>
      </c>
      <c r="R98" s="23">
        <f>R25+R27+R29+R33+R36+R39+R43+R46+R50+R52+R55+R60+R63+R65+R68+R71+R73+R75+R77+R79+R81+R84+R87+R91+R95</f>
        <v>3510645900</v>
      </c>
      <c r="S98" s="23">
        <f t="shared" ref="S98:W98" si="188">S25+S27+S29+S33+S36+S39+S43+S46+S50+S52+S55+S60+S63+S65+S68+S71+S73+S75+S77+S79+S81+S84+S87+S91+S95</f>
        <v>0</v>
      </c>
      <c r="T98" s="23">
        <f t="shared" si="188"/>
        <v>0</v>
      </c>
      <c r="U98" s="23">
        <f t="shared" si="188"/>
        <v>139937774.90000001</v>
      </c>
      <c r="V98" s="23">
        <f t="shared" si="188"/>
        <v>1810299252.8799999</v>
      </c>
      <c r="W98" s="23">
        <f t="shared" si="188"/>
        <v>-1670361477.98</v>
      </c>
      <c r="X98" s="23">
        <f t="shared" ref="X98:Z98" si="189">X25+X27+X29+X33+X36+X39+X43+X46+X50+X52+X55+X60+X63+X65+X68+X71+X73+X75+X77+X79+X81+X84+X87+X91+X95</f>
        <v>0</v>
      </c>
      <c r="Y98" s="23">
        <f t="shared" si="189"/>
        <v>93750000</v>
      </c>
      <c r="Z98" s="23">
        <f t="shared" si="189"/>
        <v>1700346647.1199999</v>
      </c>
      <c r="AA98" s="58">
        <f t="shared" si="165"/>
        <v>1293.6458752282188</v>
      </c>
      <c r="AB98" s="84">
        <f t="shared" si="166"/>
        <v>0.56551510780965963</v>
      </c>
      <c r="AC98" s="84">
        <f t="shared" si="167"/>
        <v>0.51565988266717522</v>
      </c>
      <c r="AD98" s="31"/>
    </row>
    <row r="99" spans="1:30" ht="15" customHeight="1">
      <c r="A99" s="80"/>
      <c r="B99" s="61"/>
      <c r="C99" s="79" t="s">
        <v>45</v>
      </c>
      <c r="D99" s="62"/>
      <c r="E99" s="62"/>
      <c r="F99" s="62"/>
      <c r="G99" s="23">
        <f>G30+G34+G37+G41+G44+G47+G53+G57+G61+G66+G82+G85+G89+G92+G58</f>
        <v>4606150363.0200005</v>
      </c>
      <c r="H99" s="23">
        <f t="shared" ref="H99:O99" si="190">H30+H34+H37+H41+H44+H47+H53+H57+H61+H66+H82+H85+H89+H92+H58</f>
        <v>0</v>
      </c>
      <c r="I99" s="23">
        <f t="shared" si="190"/>
        <v>0</v>
      </c>
      <c r="J99" s="23">
        <f t="shared" si="190"/>
        <v>4589491635.4900007</v>
      </c>
      <c r="K99" s="23">
        <f t="shared" si="190"/>
        <v>4566338568.9299994</v>
      </c>
      <c r="L99" s="23">
        <f t="shared" si="190"/>
        <v>23153066.560000297</v>
      </c>
      <c r="M99" s="23">
        <f t="shared" si="190"/>
        <v>0</v>
      </c>
      <c r="N99" s="23">
        <f t="shared" si="190"/>
        <v>56250000</v>
      </c>
      <c r="O99" s="23">
        <f t="shared" si="190"/>
        <v>39811794.090000227</v>
      </c>
      <c r="P99" s="58">
        <f t="shared" si="151"/>
        <v>99.495520018361916</v>
      </c>
      <c r="Q99" s="23">
        <f>Q30+Q34+Q37+Q41+Q44+Q47+Q53+Q57+Q61+Q66+Q82+Q85+Q89+Q92+Q58</f>
        <v>3765050400</v>
      </c>
      <c r="R99" s="23">
        <f>R30+R34+R37+R41+R44+R47+R53+R57+R61+R66+R82+R85+R89+R92+R58+R69</f>
        <v>4190279144.1999998</v>
      </c>
      <c r="S99" s="23">
        <f t="shared" ref="S99:W99" si="191">S30+S34+S37+S41+S44+S47+S53+S57+S61+S66+S82+S85+S89+S92+S58</f>
        <v>0</v>
      </c>
      <c r="T99" s="23">
        <f t="shared" si="191"/>
        <v>0</v>
      </c>
      <c r="U99" s="23">
        <f t="shared" si="191"/>
        <v>150784842.81999999</v>
      </c>
      <c r="V99" s="23">
        <f t="shared" ref="V99" si="192">V30+V34+V37+V41+V44+V47+V53+V57+V61+V66+V82+V85+V89+V92+V58+V69</f>
        <v>2100013980.1600003</v>
      </c>
      <c r="W99" s="23">
        <f t="shared" si="191"/>
        <v>-1949229137.3400004</v>
      </c>
      <c r="X99" s="23">
        <f t="shared" ref="X99:Z99" si="193">X30+X34+X37+X41+X44+X47+X53+X57+X61+X66+X82+X85+X89+X92+X58</f>
        <v>0</v>
      </c>
      <c r="Y99" s="23">
        <f t="shared" si="193"/>
        <v>56250000</v>
      </c>
      <c r="Z99" s="23">
        <f t="shared" si="193"/>
        <v>2089765164.0399995</v>
      </c>
      <c r="AA99" s="58">
        <f t="shared" si="165"/>
        <v>1392.7221999806043</v>
      </c>
      <c r="AB99" s="84">
        <f t="shared" si="166"/>
        <v>0.55776517099478939</v>
      </c>
      <c r="AC99" s="84">
        <f t="shared" si="167"/>
        <v>0.50116326571387193</v>
      </c>
      <c r="AD99" s="31"/>
    </row>
    <row r="100" spans="1:30" ht="13.5" customHeight="1">
      <c r="A100" s="80"/>
      <c r="B100" s="62" t="s">
        <v>0</v>
      </c>
      <c r="C100" s="30" t="s">
        <v>46</v>
      </c>
      <c r="D100" s="62"/>
      <c r="E100" s="62"/>
      <c r="F100" s="60"/>
      <c r="G100" s="23">
        <f>G31+G48+G56+G88+G40+G93</f>
        <v>27211542.969999999</v>
      </c>
      <c r="H100" s="23">
        <f t="shared" ref="H100:K100" si="194">H31+H48+H56+H88+H40+H93</f>
        <v>0</v>
      </c>
      <c r="I100" s="23">
        <f t="shared" si="194"/>
        <v>0</v>
      </c>
      <c r="J100" s="23">
        <f t="shared" si="194"/>
        <v>26906183.829999998</v>
      </c>
      <c r="K100" s="23">
        <f t="shared" si="194"/>
        <v>26895664.179999996</v>
      </c>
      <c r="L100" s="23">
        <f t="shared" ref="L100:O100" si="195">L31+L48+L56+L88+L40</f>
        <v>10519.650000000373</v>
      </c>
      <c r="M100" s="23">
        <f t="shared" si="195"/>
        <v>0</v>
      </c>
      <c r="N100" s="23">
        <f t="shared" si="195"/>
        <v>18750000</v>
      </c>
      <c r="O100" s="23">
        <f t="shared" si="195"/>
        <v>148537.66999999993</v>
      </c>
      <c r="P100" s="58">
        <f t="shared" si="151"/>
        <v>99.960902482245459</v>
      </c>
      <c r="Q100" s="23">
        <f>Q31+Q48+Q56+Q88+Q40</f>
        <v>19028400</v>
      </c>
      <c r="R100" s="23">
        <f>R31+R48+R56+R88+R40</f>
        <v>21014559</v>
      </c>
      <c r="S100" s="23">
        <f t="shared" ref="S100:W100" si="196">S31+S48+S56+S88+S40</f>
        <v>0</v>
      </c>
      <c r="T100" s="23">
        <f t="shared" si="196"/>
        <v>0</v>
      </c>
      <c r="U100" s="23">
        <f t="shared" si="196"/>
        <v>0</v>
      </c>
      <c r="V100" s="23">
        <f t="shared" si="196"/>
        <v>7146883.9900000002</v>
      </c>
      <c r="W100" s="23">
        <f t="shared" si="196"/>
        <v>-7146883.9900000002</v>
      </c>
      <c r="X100" s="23">
        <f t="shared" ref="X100:Z100" si="197">X31+X48+X56+X88+X40</f>
        <v>0</v>
      </c>
      <c r="Y100" s="23">
        <f t="shared" si="197"/>
        <v>18750000</v>
      </c>
      <c r="Z100" s="23">
        <f t="shared" si="197"/>
        <v>13867675.01</v>
      </c>
      <c r="AA100" s="58" t="e">
        <f t="shared" si="165"/>
        <v>#DIV/0!</v>
      </c>
      <c r="AB100" s="84">
        <f t="shared" si="166"/>
        <v>0.37559038016859014</v>
      </c>
      <c r="AC100" s="84">
        <f t="shared" si="167"/>
        <v>0.34009202810299277</v>
      </c>
      <c r="AD100" s="31"/>
    </row>
    <row r="101" spans="1:30" ht="15" customHeight="1">
      <c r="A101" s="31"/>
      <c r="B101" s="3"/>
      <c r="C101" s="6"/>
      <c r="D101" s="3"/>
      <c r="E101" s="3"/>
      <c r="F101" s="3"/>
      <c r="G101" s="46"/>
      <c r="H101" s="46"/>
      <c r="I101" s="46"/>
      <c r="J101" s="46"/>
      <c r="K101" s="46"/>
      <c r="L101" s="47"/>
      <c r="M101" s="31"/>
      <c r="N101" s="31"/>
      <c r="O101" s="31"/>
      <c r="P101" s="31"/>
      <c r="Q101" s="46"/>
      <c r="R101" s="46"/>
      <c r="S101" s="46"/>
      <c r="T101" s="46"/>
      <c r="U101" s="46"/>
      <c r="V101" s="46"/>
      <c r="W101" s="47"/>
      <c r="X101" s="31"/>
      <c r="Y101" s="31"/>
      <c r="Z101" s="31"/>
      <c r="AA101" s="31"/>
      <c r="AB101" s="31"/>
      <c r="AC101" s="31"/>
      <c r="AD101" s="31"/>
    </row>
    <row r="102" spans="1:30" ht="12.75" customHeight="1">
      <c r="A102" s="31"/>
      <c r="B102" s="3"/>
      <c r="C102" s="5"/>
      <c r="D102" s="3"/>
      <c r="E102" s="3"/>
      <c r="F102" s="31"/>
      <c r="G102" s="48"/>
      <c r="H102" s="48"/>
      <c r="I102" s="48"/>
      <c r="J102" s="48"/>
      <c r="K102" s="48"/>
      <c r="L102" s="31"/>
      <c r="M102" s="31"/>
      <c r="N102" s="31"/>
      <c r="O102" s="31"/>
      <c r="P102" s="31"/>
      <c r="Q102" s="48"/>
      <c r="R102" s="91"/>
      <c r="S102" s="91"/>
      <c r="T102" s="91"/>
      <c r="U102" s="91"/>
      <c r="V102" s="91"/>
      <c r="W102" s="31"/>
      <c r="X102" s="31"/>
      <c r="Y102" s="31"/>
      <c r="Z102" s="31"/>
      <c r="AA102" s="31"/>
      <c r="AB102" s="31"/>
      <c r="AC102" s="31"/>
      <c r="AD102" s="31"/>
    </row>
    <row r="103" spans="1:30" ht="12" customHeight="1">
      <c r="A103" s="31"/>
      <c r="B103" s="31"/>
      <c r="C103" s="31"/>
      <c r="D103" s="31"/>
      <c r="E103" s="31"/>
      <c r="F103" s="2"/>
      <c r="G103" s="2"/>
      <c r="H103" s="2"/>
      <c r="I103" s="2"/>
      <c r="J103" s="2"/>
      <c r="K103" s="2"/>
      <c r="L103" s="2"/>
      <c r="M103" s="31"/>
      <c r="N103" s="31"/>
      <c r="O103" s="31"/>
      <c r="P103" s="31"/>
      <c r="Q103" s="2"/>
      <c r="R103" s="2"/>
      <c r="S103" s="2"/>
      <c r="T103" s="2"/>
      <c r="U103" s="2"/>
      <c r="V103" s="2"/>
      <c r="W103" s="2"/>
      <c r="X103" s="31"/>
      <c r="Y103" s="31"/>
      <c r="Z103" s="31"/>
      <c r="AA103" s="31"/>
      <c r="AB103" s="31"/>
      <c r="AC103" s="31"/>
      <c r="AD103" s="31"/>
    </row>
    <row r="104" spans="1:30" ht="12" customHeight="1">
      <c r="A104" s="31"/>
      <c r="B104" s="2"/>
      <c r="C104" s="4"/>
      <c r="D104" s="2"/>
      <c r="E104" s="2"/>
      <c r="F104" s="2"/>
      <c r="G104" s="2"/>
      <c r="H104" s="2"/>
      <c r="I104" s="2"/>
      <c r="J104" s="2"/>
      <c r="K104" s="2"/>
      <c r="L104" s="2"/>
      <c r="M104" s="31"/>
      <c r="N104" s="31"/>
      <c r="O104" s="31"/>
      <c r="P104" s="31"/>
      <c r="Q104" s="2"/>
      <c r="R104" s="2"/>
      <c r="S104" s="2"/>
      <c r="T104" s="2"/>
      <c r="U104" s="2"/>
      <c r="V104" s="2"/>
      <c r="W104" s="2"/>
      <c r="X104" s="31"/>
      <c r="Y104" s="31"/>
      <c r="Z104" s="31"/>
      <c r="AA104" s="31"/>
      <c r="AB104" s="31"/>
      <c r="AC104" s="31"/>
      <c r="AD104" s="31"/>
    </row>
    <row r="105" spans="1:30" ht="12" customHeight="1">
      <c r="A105" s="31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31"/>
      <c r="N105" s="31"/>
      <c r="O105" s="31"/>
      <c r="P105" s="31"/>
      <c r="Q105" s="2"/>
      <c r="R105" s="2"/>
      <c r="S105" s="2"/>
      <c r="T105" s="2"/>
      <c r="U105" s="2"/>
      <c r="V105" s="2"/>
      <c r="W105" s="2"/>
      <c r="X105" s="31"/>
      <c r="Y105" s="31"/>
      <c r="Z105" s="31"/>
      <c r="AA105" s="31"/>
      <c r="AB105" s="31"/>
      <c r="AC105" s="31"/>
      <c r="AD105" s="31"/>
    </row>
    <row r="106" spans="1:30" ht="18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92"/>
      <c r="S106" s="92"/>
      <c r="T106" s="92"/>
      <c r="U106" s="92"/>
      <c r="V106" s="92"/>
      <c r="W106" s="31"/>
      <c r="X106" s="31"/>
      <c r="Y106" s="31"/>
      <c r="Z106" s="31"/>
      <c r="AA106" s="31"/>
      <c r="AB106" s="31"/>
      <c r="AC106" s="31"/>
      <c r="AD106" s="31"/>
    </row>
    <row r="107" spans="1:30" ht="12" customHeight="1">
      <c r="A107" s="31"/>
      <c r="B107" s="2"/>
      <c r="C107" s="2"/>
      <c r="D107" s="2"/>
      <c r="E107" s="2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92"/>
      <c r="S107" s="92"/>
      <c r="T107" s="92"/>
      <c r="U107" s="92"/>
      <c r="V107" s="92"/>
      <c r="W107" s="31"/>
      <c r="X107" s="31"/>
      <c r="Y107" s="31"/>
      <c r="Z107" s="31"/>
      <c r="AA107" s="31"/>
      <c r="AB107" s="31"/>
      <c r="AC107" s="31"/>
      <c r="AD107" s="31"/>
    </row>
    <row r="108" spans="1:30" ht="12" customHeight="1">
      <c r="A108" s="31"/>
      <c r="B108" s="31"/>
      <c r="C108" s="2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92"/>
      <c r="S108" s="92"/>
      <c r="T108" s="92"/>
      <c r="U108" s="92"/>
      <c r="V108" s="92"/>
      <c r="W108" s="31"/>
      <c r="X108" s="31"/>
      <c r="Y108" s="31"/>
      <c r="Z108" s="31"/>
      <c r="AA108" s="31"/>
      <c r="AB108" s="31"/>
      <c r="AC108" s="31"/>
      <c r="AD108" s="31"/>
    </row>
    <row r="109" spans="1:30" ht="12.75" customHeight="1">
      <c r="A109" s="31"/>
      <c r="B109" s="31"/>
      <c r="C109" s="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92"/>
      <c r="S109" s="92"/>
      <c r="T109" s="92"/>
      <c r="U109" s="92"/>
      <c r="V109" s="92"/>
      <c r="W109" s="31"/>
      <c r="X109" s="31"/>
      <c r="Y109" s="31"/>
      <c r="Z109" s="31"/>
      <c r="AA109" s="31"/>
      <c r="AB109" s="31"/>
      <c r="AC109" s="31"/>
      <c r="AD109" s="31"/>
    </row>
  </sheetData>
  <mergeCells count="26">
    <mergeCell ref="B24:F24"/>
    <mergeCell ref="B26:F26"/>
    <mergeCell ref="B28:F28"/>
    <mergeCell ref="B32:F32"/>
    <mergeCell ref="C12:AC12"/>
    <mergeCell ref="B35:F35"/>
    <mergeCell ref="B38:F38"/>
    <mergeCell ref="B42:F42"/>
    <mergeCell ref="B45:F45"/>
    <mergeCell ref="B49:F49"/>
    <mergeCell ref="B51:F51"/>
    <mergeCell ref="B54:F54"/>
    <mergeCell ref="B59:F59"/>
    <mergeCell ref="B62:F62"/>
    <mergeCell ref="B64:F64"/>
    <mergeCell ref="B67:F67"/>
    <mergeCell ref="B70:F70"/>
    <mergeCell ref="B72:F72"/>
    <mergeCell ref="B90:F90"/>
    <mergeCell ref="B94:F94"/>
    <mergeCell ref="B74:F74"/>
    <mergeCell ref="B76:F76"/>
    <mergeCell ref="B78:F78"/>
    <mergeCell ref="B80:F80"/>
    <mergeCell ref="B83:F83"/>
    <mergeCell ref="B86:F86"/>
  </mergeCells>
  <printOptions horizontalCentered="1"/>
  <pageMargins left="0.39370078740157483" right="0.19685039370078741" top="0.78740157480314965" bottom="0.59055118110236227" header="0" footer="0"/>
  <pageSetup paperSize="9" fitToHeight="0" orientation="landscape" r:id="rId1"/>
  <headerFooter alignWithMargins="0"/>
  <rowBreaks count="4" manualBreakCount="4">
    <brk id="34" max="28" man="1"/>
    <brk id="50" max="28" man="1"/>
    <brk id="66" max="28" man="1"/>
    <brk id="8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01.07.18</vt:lpstr>
      <vt:lpstr>'01.07.18'!Область_печати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LazarevaOS</dc:creator>
  <cp:lastModifiedBy>PavlovskayaTA</cp:lastModifiedBy>
  <cp:lastPrinted>2018-10-22T09:31:32Z</cp:lastPrinted>
  <dcterms:created xsi:type="dcterms:W3CDTF">2017-08-11T09:41:13Z</dcterms:created>
  <dcterms:modified xsi:type="dcterms:W3CDTF">2018-10-23T05:23:30Z</dcterms:modified>
</cp:coreProperties>
</file>